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in_amazon_fr_to_translate" sheetId="1" r:id="rId3"/>
  </sheets>
  <definedNames/>
  <calcPr/>
</workbook>
</file>

<file path=xl/sharedStrings.xml><?xml version="1.0" encoding="utf-8"?>
<sst xmlns="http://schemas.openxmlformats.org/spreadsheetml/2006/main" count="5003" uniqueCount="4944">
  <si>
    <t>labels</t>
  </si>
  <si>
    <t>text</t>
  </si>
  <si>
    <t>translation</t>
  </si>
  <si>
    <t>Pas hyper chaud Petit tapis chauffant, texture agréable. Par contre, met beaucoup de temps à chauffer. Et en mode 3, le plus élevé, je trouve qu'il n'est pas très chaud.... Je m'attendais à mieux en tout cas...</t>
  </si>
  <si>
    <t>Passez votre chemin Au premier coup d'oeil, bon article, conforme à la commande. Au bout d'une semaine d'utilisation, l'intérieur du chausson se déchire. A ne surtout pas acheter.</t>
  </si>
  <si>
    <t>Moyen Solide . Mais une des poche est trop serré pour pouvoir mettre des chose à l l'intérieur</t>
  </si>
  <si>
    <t>conforme a l'image il serai nécessaire de le réaliser un peu pus grand Bon produit estétique cadeau apprécié</t>
  </si>
  <si>
    <t>Pieds nus mais avec une bonne paire de chaussures Depuis l'été, je ne les ai pas quittées d'une semelle ! Au delà du prix raisonnable, ces chaussures sont très agréables à porter même sur un sol caillouteux... Vraiment la sensation d'être pieds nus, la marche devient moins fatigante. Si vous êtes "batteur", ce sera le top (j'en connais qui joue en chaussettes, pour alléger leurs pieds surtout les doubles pédaleurs) : ces "pompes" sont parfaites, elles vous assureront une parfaite adhérence et un confort de frappe tout en vous offrant cette sensation de légèreté. Autre chose, la taille est parfaite, pas de mauvaise surprise.</t>
  </si>
  <si>
    <t>Super cadeau Très jolie montre homme, très classe. C'est un cadeau que mon mari a beaucoup apprécié. Un petit luxe à petit prix !</t>
  </si>
  <si>
    <t>La Qualité Sonore Parfaite Faciles à connecter au téléphone. Ils me permettent de répondre à mes appels en mode kit mains libres et de revenir à l'écoute de ma musique. Prise en main aisée. Très bonne qualité de son, on est isolé du reste du monde.</t>
  </si>
  <si>
    <t>Parfait Pas très épais mais ma fille a tout de suite adoré !!!</t>
  </si>
  <si>
    <t>Belle idéee Super pour les naissances et autres fêtes. Avec de petites sucreries à partager avec les proches.</t>
  </si>
  <si>
    <t>Simple pour les lecteurs debutants pour ne pas les décourager Garcon debut de cp</t>
  </si>
  <si>
    <t>Super câble Sur table de mixage</t>
  </si>
  <si>
    <t>tres bien Et très simple d'utilisation pour les collégiens marche très bien pour les collégiens je l'ai moi-même acheté pour mon fils elle marche très bien</t>
  </si>
  <si>
    <t>Super rapport qualité prix Jai testé pour mes migraines l'huile menthe poivrée et ça a fonctionné,  contente de mon achat et la trousse de rangement est très pratique jadore</t>
  </si>
  <si>
    <t>Bon qualité Cet appareil est très satisfait,il y’a vitesse . Un côté c’est cuir doux et facile a nettoyé , l’autre côté c’est tissu Filet respirant .Il compris un Chargeur Secteur et Chargeur Allume Cigare, pratique un posé dans la voiture .</t>
  </si>
  <si>
    <t>Conforme à la description et de bonne qualité Conforme à la description et de bonne qualité</t>
  </si>
  <si>
    <t>Très puissant. Poids adapté, prise en main facile, tient bien la charge. Les vibrations sont très puissantes et efficaces. Les 25 modes sont amusants, et il est simple à nettoyer. Bref, rien à redire :)</t>
  </si>
  <si>
    <t>La Perle Rare à avoir toujours avec Soi... Ressentez son efficacité dès la première utilisation, une légèreté buccale vous envahira pour le bonheur de ne plus jamais perdre cette agréable sensation de bouche saine et dégagée de ses impuretés. Toutes ces années à chercher quelque chose pour assainir ma langue, la rendre rose, en brossant celle-ci, avec divers produits etc... Voilà Le produit qu'il me fallait, merci à ses Créateurs Et la boutique sur Amazon vendant ce produit...</t>
  </si>
  <si>
    <t>Pas de soucis, chaussures conforme à la description et Warerproof Pas de soucis, ce sont des vraies. Ce sont des chaussures en cuir, donc raide au début. Le logo est à la bonne taille. Rien de douteux concernant la chaussure. Livré dans une boîte timberland. Possesseur de Tim auparavant, je suis content de m'en procurer de nouveau et surtout à ce prix. Je chausse du 42 Nike ce qui correspond au 41 Timberland (comparaison guide des pointures des 2 marques) donc je conseille également de prendre une pointure en dessous.</t>
  </si>
  <si>
    <t>Ecouteur Bluetooth sans file, Willful &lt;div id="video-block-RMY88ODQAX96W" class="a-section a-spacing-small a-spacing-top-mini video-block"&gt;&lt;/div&gt;&lt;input type="hidden" name="" value="https://images-eu.ssl-images-amazon.com/images/I/C1eGUu2XbaS.mp4" class="video-url"&gt;&lt;input type="hidden" name="" value="https://images-eu.ssl-images-amazon.com/images/I/91D79GluimS.png" class="video-slate-img-url"&gt;&amp;nbsp;J'ai acheté ces écouteurs car le port de mon téléphone ne fonctionne plus m, et bien ces écouteurs font bien l'affaire. Ces écouteurs tiennent bien l charge le song est claire en plus je n'ai pas de soucie pour les appels elles ont un micro intégré. Je suis hyper satisfaite de mon achat et vous le recommande vivement. Compte à la livraison je l'ai reçu en 24h.</t>
  </si>
  <si>
    <t>Indispensable Excellent produit ! Pratique et simple à utiliser ... Je ne m'en passe plus ^^</t>
  </si>
  <si>
    <t>cadeau gadget L'idée est sympathique, mais la qualité des chaussons et même de la housse n'est pas qualitative. Mais l'effet cadeau était là !</t>
  </si>
  <si>
    <t>Pas terrible Pointure exacte Matière - pas pratique à cause de la poussière. Elles se salissent facilement et se nettoient très difficilement. Prix - un peu cher pour des finitions pareilles - decu car normalement produits bien travaillés. Déjà abîmé à cause des finitions - apres juste deux mois d’utilisation</t>
  </si>
  <si>
    <t>des chaussures comme des chaussons ! J'ai des problèmes à un pied(oignon), il me faut donc des chaussures très souples. Avec celles-ci (je les avais essayées en magasin avant) je n'ai aucune douleur.C'est un pur plaisir de souplesse.Je les aime pour çà. La semelle cependant est un peu légère et pas sophistiquée. Ce qui en fait une chaussure estivale un peu légère.</t>
  </si>
  <si>
    <t>Bonnes chaussettes Je les porte depuis un an lorsqu'il faut chaud, et elles ont bien vieillies. Pas de bouloches, pas de trous, pas de décoloration. 4 etoiles a cause de la composition (65% Coton) qui peut les rendre un peu inconfortables.</t>
  </si>
  <si>
    <t>Pratique pour les sorties et réveils de nuit Boîtes doseuses très pratiques pour les sorties car évite de transporter le pot de lait entier ainsi que pour les réveils dans la nuit car permet d'aller vite quand on est fatigués et que bébé crie pour son biberon. Pour le moment je n'ai mis maximum que 6 doses car bébé n'a pas encore atteint les 9 indiquées en dose max; mais la contenance permet bien de mettre + que 6 doses. Le bec verseur est très utile car évite de renverser à côté. Les boites sont très faciles à nettoyer et à sécher, aussi jusqu'à présent elles ne se sont jamais dévissées pendant le transport. Le seul inconvénient est qu'il faut bien maintenir les boîtes droites pour bien les emboîter et les visser les unes aux autres. A part selon bon rapport qualité prix donc satisfaite de l'achat.</t>
  </si>
  <si>
    <t>Confortable Bon achat,il faut cependant le chauffer pendant trois à quatre minutes pour obtenir la bonne température.je l’ai sorti du micro onde toute les minutes pour mélanger les graines et éviter qu’il ne brûle.</t>
  </si>
  <si>
    <t>Petit mais jolie Très très petit très discret. Mais jolie.</t>
  </si>
  <si>
    <t>Tres bon produit Très bon produit - envoi rapide - je recommande</t>
  </si>
  <si>
    <t>Pour mon boulot génial pas lourde et très pratique Super on entend super bien pas lourde et très bien agencé pour mon oreille</t>
  </si>
  <si>
    <t>Je recommande Cadeau qui a fait son effet! Très bon son, confortable pour les oreilles. Rien a redire Je le recommande vivement!</t>
  </si>
  <si>
    <t>Parfait Très bon produit. Il est parfait pour le crâne nuque ou encore le dos. Je recommande vraiment</t>
  </si>
  <si>
    <t>Impeccable Très beau produit, acheté en version "bois" l'appareil est en plastique avec un aspect bois très esthétique. Ce diffuseur est très efficace et le jeu de lumière très agréable visuellement</t>
  </si>
  <si>
    <t>Parfait il est parfait très beau et élégant j ai pu offrir une parure bracelet et collier a noël. maman a adore il est magnifique a porter. je le conseille sans hésiter.</t>
  </si>
  <si>
    <t>Agréablement surpris J'ai une nevralgie -brachiale. Avec le stress et l'anxiété après une journée de travail j'ai besoin de me soulager la nuque et les trapèzes. J'ai acheté ce tapis en lisant les commentaires. Quand je l'ai tester la première fois  pendant 30 min j'ai pas ressenti la sensation de bien être.  Mais dès la deuxième fois j'ai été submergé par une intense sensation de bien être jusqu'à avoir un large sourire. Pour ma part c'est surtout le coussin que j'apprécie le plus. Toutefois c'est le tapis n'atteint pas les trapèzes. Il.y a un.vide entre le coussin et le tapis. Du coup je place un petit coussin en dessous.  De plus, le tapis n'est pas assez large. Mes bras n'en profitent pas. En tout cas c'est une bonne.n découverte d'autant plus que j'étais très septique.</t>
  </si>
  <si>
    <t>très contente Ces disques d'étanchéité permettent de transporter les biberons vides et stériles ou contenant le lait de bébé avec une bague et non avec la tétine. De plus ces disques ont été conçus pour s'adapter à tous les types de biberons avent (ancien et nouveau modèle) alors que les anciens ne vont pas sur les modèles natural. Ainsi on peut transporter le biberon tranquillement dans le sac à langer jusqu'au moment de le rechauffer pour le donner a bébé. Je suis très satisfaite et le recommande à toutes les mamans qui aiment se promener avec leur bébé.</t>
  </si>
  <si>
    <t>Parfait!!! Super rapport qualité prix, je suis ultra satisfaite du produit et de la rapidité de livraison...</t>
  </si>
  <si>
    <t>Papier d'Arménie Paris ' La Rose Cet astucieux petit carnet (8 x 5.5 cm) porte les senteurs de l'encens, un parfum de rose ajouté à celui du benjoin. Il se présente sous une douzaine de feuillets, chacun prédécoupé en trois lamelles. Il suffit d'en détacher une, la plier en accordéon, mettre délicatement le feu et souffler rapidement dessus afin d'éteindre la flamme. Le papier doit se consumer lentement dans une soucoupe. Entre le fond du support et le papier, je dispose des petits galets de verre. Ainsi, le papier se consume mieux, intégralement. Il  vient à bout d'odeurs difficiles à éliminer. Celles d'un appareil à raclette par exemple'  Les feuilles brunes dégagent une bonne odeur de rose. Autant en profiter en les entreposant simplement dans l'armoire à linge. En brûlant, elle s'estompe tout répandant le délicat effluve fleuri. Les odeurs indésirables volatilisées, j'ouvre les fenêtres en grand. Rien ne vaut le grand air extérieur pour l'aération d'un intérieur. La senteur des résidus demeure lorsque l'on est à sa proximité immédiate.  N'hésitez pas à faire un tour dans les magasins bio, parapharmacie à l'occasion. On le trouve facilement pour moins de trois euros. C'est un moyen ancien, très simple, ingénieux, efficace, économique, pour parfumer et/ou assainir les pièces. Le seul inconvénient : assez fort, il n'est pas au goût de tous.  Si vous n' aimez pas le parfum de rose :  Papier d’Arménie triple, l’ original. &lt;a data-hook="product-link-linked" class="a-link-normal" href="/PAPIER-ARMENIE-TRIPLE-carnet-de-12/dp/B00ECV0S1Y/ref=cm_cr_getr_d_rvw_txt?ie=UTF8"&gt;PAPIER ARMENIE TRIPLE carnet de 12&lt;/a&gt;  Papier d’ Arménie, plus doux et moins entêtant  que l’ original. &lt;a data-hook="product-link-linked" class="a-link-normal" href="/PAPIER-D-ARMENIE-carnet-de-12-feuilles/dp/B0017DPRVQ/ref=cm_cr_getr_d_rvw_txt?ie=UTF8"&gt;PAPIER D'ARMENIE carnet de 12 feuilles&lt;/a&gt;</t>
  </si>
  <si>
    <t>Conforme Tenue chic,serre bien la taille</t>
  </si>
  <si>
    <t>Tres bonne qualité Tres bonne qualité Attention quand même ça taille légèrement petit quand meme pour le haut</t>
  </si>
  <si>
    <t>écouteurs bluetooth Voyant tout le monde avec des écouteurs sans fil j'ai voulu essayé. j'ai choisi la couleur noir, ils sont jolie et j'aime beaucoup la texture. La qualité du son est correcte pour le prix, j'ai eu un peu de mal avec le tactile au début mais maintenant c'est bon.</t>
  </si>
  <si>
    <t>Basique mais efficace Facile à installer juste une cartouche noire et une couleur</t>
  </si>
  <si>
    <t>Produit au top Je suis très satisfait de ce produit. j'en suis ravie par sa qualité et son moyen de pouvoir travailler au niveau programmation pour mon fils. Je recommande vivement ce produit en tant que solide et autant pour son rapport qualité/prix.</t>
  </si>
  <si>
    <t>Etre bien dedans se n'est pas le qua Elle me fon trop mal au pied</t>
  </si>
  <si>
    <t>Arnaque Je n'ai reçu qu'une seule des 5 ramettes de papier, arnaque énorme. La photo ci contre représente un carton de 5x500 feuilles, il n'est pas de mon ressort de me dire que la photo du produit présentée n'est pas le produit. Entreprise pathétique et incompétente.</t>
  </si>
  <si>
    <t>Parfait pour commencer. Tres bon coffret pour commencer avec notre baby chou et le décor est sympathique!! Pas la peine de prendre des coffrets avec plus de biberons pour commencer.</t>
  </si>
  <si>
    <t>bonne qualité ! pour des raison proffessionellles ..</t>
  </si>
  <si>
    <t>Bon produit Bon produit par rapport à la qualité et prix.</t>
  </si>
  <si>
    <t>Livraison rapide, chaussures agréables à porter......et petit prix. Chaussures confortables à petit prix. ...</t>
  </si>
  <si>
    <t>Pas mal Un peu grande mais jolie</t>
  </si>
  <si>
    <t>HYDRATANTE APAISANTE ET CORRIGE LES IMPERFECTIONS Idéale quand on a des imperfections dues à une peau sèche. En une application le soir, celles-ci ont disparu !! Attention, cette huile tâche les vêtements et la literie de façon irréversible et c'est le seul point négatif que j'ai constaté... Je recommande cet achat qui pour ma part me convient parfaitement.</t>
  </si>
  <si>
    <t>Article conforme description Ras</t>
  </si>
  <si>
    <t>Ravie Je l'ai commandé la tétine est superbe je la recommande à tous !! Et je voudrai savoir si j'en recommande une deuxième es que j'aurai une couleur differente que celle que j'ai car j'ai peur davoir encore une orange j aimerai une  tetine couleur violet merci</t>
  </si>
  <si>
    <t>Très satisfaits Très satisfaite de mon produit nous le  faisons revenir régulièrement. Jusqu'à présent nous avons toujours été satisfaits de nos commandes.</t>
  </si>
  <si>
    <t>Très bon casque. Magnifique casque sans fil. Première fois que j utilise, je ne changerait plus pour un casque à fil.</t>
  </si>
  <si>
    <t>Le style au top J’adore super légères, agréables pour marcher, on ne dirait pas des chaussures de sécurité, trop bien avec pantacourts</t>
  </si>
  <si>
    <t>bon parfum Ces parfums sentent bon odeur  Ils ont une très bonne tenue . De plus les flacons sont réellement superbes  tres bon coffre facile a porte partout</t>
  </si>
  <si>
    <t>TOP BON RAPPORT QUALITE PRIX</t>
  </si>
  <si>
    <t>chaud et comfortable Paré pour l'hiver avec ces chaussons fourrés. Merci et au printemps j'espère .</t>
  </si>
  <si>
    <t>BON PRODUIT Très bien et économique. Adopté pour plusieurs années............</t>
  </si>
  <si>
    <t>Bon son. Parfait pour écouter la hifi , je ne suis pas déçu du produit.</t>
  </si>
  <si>
    <t>génial le meilleur des goupillons sans contestation possible! pratique avec le petit goupillon pour la tétine; hygiénique car tient debout sur le rebord de l'évier, efficace pour nettoyer et solide.</t>
  </si>
  <si>
    <t>Super chaussures Enfin des chaussures de sécurité vraiment très confortable on croirait des baskets , très légère, vraiment pas déçu surtout pendant mes 7h de travail je marche énormément, je les conseille vivement.</t>
  </si>
  <si>
    <t>Grand confort, chaleur et étanchéité avérées Teinte conforme et livrées avec une paire de lacets supplémentaire, de couleur rouge. Très appréciés, le contraste des couleurs ainsi obtenu permettant de mieux se repérer dans le laçage.  Chaussant d'ordinaire du 40, mais sachant qu'elles sont fourrées et que je souhaitais mettre des chaussettes de randonnée, j'ai opté pour une taille 41, et bien m'en a prise.  Ceci dit, aussitôt reçues, aussitôt "baptisées" au cours d'une promenade d'environ une heure et demie avec ma chienne, sous une pluie battante. L'efficacité des semelles anti dérapantes ayant en outre fait ses preuves, non pas sur la neige, mais sur des chemins gorgés d'eau, particulièrement boueux. On a la sensation de porter des chaussons, tant elles sont confortables, tout en ayant les pieds bien maintenus, au chaud et au sec.  Au retour de la promenade, j'ai pu constater que l'intérieur ne présentait aucune humidité, l'extérieur séchant très vite.  En conclusion, conquise par ces chaussures, même si reste à voir ce que cela donnera côté longévité.  À votre disposition pour toute question, passez par la rubrique « Remarque sur ce commentaire », j'y répondrai avec plaisir.</t>
  </si>
  <si>
    <t>100 sachets à fermeture zip 60x80 mm Sachets de qualités. solide, hermétique, pratique. Je ne suis pas déçu de mon achat d'autant que le prix est vraiment raisonnable. Je vous recommande ces petits sachets zip.</t>
  </si>
  <si>
    <t>Veste Déçu on dirais plutôt une veste sue un manteau</t>
  </si>
  <si>
    <t>En panne aprés 30 minutes ! A peine deballé, à peine utilisé et déjà à l'arrêt. Le peu que j'ai pu tester : machine trés lente, capteur présence papier pas reactif et au vu de la coupe pas nette du papier, avant la panne, je ne pense pas que dans le temps cette machine puisse faire le job.</t>
  </si>
  <si>
    <t>Produit bose trés décevant Je l'utilise pour actité cycliste; tondre le gazon etc....les embouts blessent les oreilles au bout d'un certain temps.on toujours à l'impression qu'on va les perdre Le son est correct mais pas exceptionnel. Point Positif ils n'isolent pas complétement de l'extérieurce qui est un plus quand on fait du vélo, par contre pour tondre le gazon obligé de monter le son assez fort .Avant je possédais des mpow bluethoo à 20 euros.Autant dire que je suis trés déçu pour 166 €je m'attendait à autre chose.Réputation de Bose surfaite sur ce produit.Mon petit fils à acheté des mpow meme systéme que les bose avec station de recharge à 49€.Honnétement je n'ai vu de différence qu'avec les bose.Pour un prix 3*moins cher.</t>
  </si>
  <si>
    <t>Bon produit Le produit correspond à ce que j'attendais, un bon rapport qualité prix. Les tailles correspondent ainsi que les coloris. Après 3 lavages, les chaussettes boulochent un petit peu mais à ce prix, je ne trouve pas grand chose à redire.</t>
  </si>
  <si>
    <t>Sympa pour des créations originales mais... Les blopens sont maintenant t'es célèbres : des crayons en plastique équipes de recharge, dans lesquels on souffle pour réaliser des dessins au pochoir avec un effet flouté. Ce coffret correspond donc autant que tous les autres à ce descriptif. Mais cette nouvelle version présente des nouveautés intéressantes : - une BOÎTE qui sert de PUPITRE : il permet de maintenir la feuille de dessin et sert également de support à crayons ; attention donc à bien ouvrir la boîte sans l'abîmer ! On peut ensuite y ranger tous les pochoirs et réalisations ; - des MOBILES à fabriquer et à décorer ; - des PAILLETTES multicolores pour DECOR les réalisations. Sur ce point, attention : la colle fournie à tendance à couler trop vite, donc les paillettes font des "paquets" : il vaut mieux que ce soit un adulte qui applique la colle. Les paillettes en revanche ne sortent pas trop vite du tube, c'est assez facile à appliquer.  Jusque là, tout est plutot positif, mais il y a d'après moi un pont noir : les pochoirs sont certes réutilisables, mais ils ne sont pas faciles à nettoyer. Certes, il est facile de faire partir l'encre grâce à une lingette, un chiffon humide ou une éponge, mais comme ils sont fragiles, il faut faire très attention à ne pas les abîmer : ne pas laisser faire aux enfants ! D'autre part, apres nettoyage, on a de l'encre plein les mains : même si l'encre part apres deux ou trois frottage des mains, c'est tout de même désagréable !</t>
  </si>
  <si>
    <t>Attention Taille!!! Qualité et livraison conforme mais attention à la taille lors de votre commande! Par exemple la taille annoncée "37-38 BR ( 39-40 EUR )" est en fait bien un 37-38 EUR!!! Il y a une erreur sur le site je pense car pareil avec une autre paire différente  havainas commandée.</t>
  </si>
  <si>
    <t>produit conforme PRODUIT CONFORME à la description - je l'utilise en studio sur des claviers. aucun problème de fiabilité. description exact sans surprise</t>
  </si>
  <si>
    <t>Super rapport qualité prix Il est au top!!! J'en avais un avant qui ne fonctionnait pas du côté droit et qui avait une qualité sonore lors des appels plutôt médiocre. Avec celui là le son est net et de bonne qualité. On peut augmenter le son depuis l'oreillette, changer de morceau quand on écoute de la musique décrocher raccrocher et j'en passe. Au final mon mari me l'a piqué je vais devoir en racheter un autre pour moi</t>
  </si>
  <si>
    <t>Chaussette très confortable et qui taille bien. Acheter pour aller avec mes vapormax blanche , c'est vraiment le top confortable parfaite pour les baskets basse. Et le gros plus en fin de journée on a pas de résidu de chaussette  partout sur le pied qui est pour moi très importante et qui montre que la chaussette et de qualité . Bref je recommande très bonne chaussette.</t>
  </si>
  <si>
    <t>Biberon a tétine douce Ce biberon est conçu en plastique mou afin que lorsque bébé le met a la bouche cela ne le derange pas vis a vis du sein de maman. la prise en main est également très simple, mon bébé la accepté tout de suite.</t>
  </si>
  <si>
    <t>Jolie Jolie</t>
  </si>
  <si>
    <t>Massages fermes et toniques Il y a 5 types de massages différents avec ou sans pression d’air (5 programmes de 15 min). Les rouleaux passent sous la voûte plantaire et les coussins d’air se gonflent autour du pied. On peut aussi choisir de chauffer . Les massages sont plutôt fermes et appuyés de type shiatsu et réflexologie. L’appareil prend un peu de place par contre mais ne fait pas trop de bruit.</t>
  </si>
  <si>
    <t>Compact et fonctionnel J'ai choisi ce modèle pour l'utiliser en fonction "radio réveil" connecté à mon GSM. La connexion BT est quasi instantanée, la connectique est complète (USB, AUX et carte micro SD). La fonction light est vraiment ludique et facile d'utilisation : 48 couleurs différentes et 4 modes au choix ce qui permet également de l'utiliser en veilleuse ou petite lampe d'ambiance d'appoint. L'alimentation se fait classiquement par un câble micro USB ce qui évite une énième alimentation spécifique. Livraison rapide et conforme</t>
  </si>
  <si>
    <t>Je recommande Bonne qualité</t>
  </si>
  <si>
    <t>Parfait Ce casque pour enfant fonctionne très bien et est réglable pour s'adapter à toutes les têtes (même sur les adultes!)</t>
  </si>
  <si>
    <t>Bouilloire saine efficace au design appréciable Je trouve ce produit parfait pour ceux qui recherchent un produit sans BPA à un prix abordable tout en étant bien dessiné. En tout cas, moi j'en suis très satisfaite.</t>
  </si>
  <si>
    <t>chaussure confortable et loi original très bon produit. confortable. facile à enfiler. Tient bien au pied. Parfait aussi pour faire du paddle.</t>
  </si>
  <si>
    <t>Chaussures qui courent n'amassent pas mousse----[] Fini les glissades sur les cailloux de la rivière, on est pas au top de la mode haha mais quest-ce-qu'ils sont efficaces et rassurants pour marcher dans des zones qui peuvent être à risque pour les bobos eventuels. (pierres coupantes, chutes...)</t>
  </si>
  <si>
    <t>converse très jolies chaussures, couleur parfaite, comme sur la photo. s'adapte avec de nombreuses tenues la qualité converse à recommander prix en promo, vraiment intéressant</t>
  </si>
  <si>
    <t>Excellents écouteurs bluetooth J’ai reçu ces écouteurs pour un test. Je n’avais jamais utilisé ce type d’appareil auparavant.  La livraison a été rapide, les écouteurs sont biens emballés dans un coffret. Il y a une notice explicative détaillée et rédigée en français. La mise en service, lors de la première utilisation comme lors des suivantes, est très simple. L’appairage avec mon smartphone Android est réalisé en quelques secondes. Le boîtier de rangement est bien conçu. Il est solide et il ferme bien. Il sert de chargeur mobile pour les écouteurs.  A l’utilisation, ces écouteurs se font oublier tellement ils sont légers et confortable à l’oreille. La qualité du son est très bonne et il n’est pas nécessaire de trop pousser le volume pour bénéficier d’une bonne restitution des basses et des médiums. Pourtant, je n’ai pas un smartphone « haut de gamme ». J’ai écouté plusieurs styles de musiques (classique, moderne, jazz, rock, film, etc.) et de chansons (opéra, variété, pop, chanteurs à la voix puissante grave ou plus aiguë). Globalement, le résultat est toujours très bon, même si la qualité du son ne vaut pas celle de mes enceintes de salon. Cependant, je trouve que ces écouteurs sont meilleurs que ceux que j’ai utilisé jusqu’à présent (écouteurs filaires).  Pour l’exercice physique, là encore, ils sont confortables (je pratique la marche nordique). Ils ne craignent pas l’humidité.  Pour un usage en téléphonie, ou pour naviguer dans sa bibliothèque musicale, c’est très simple et très bien expliqué sur la notice.  Au final, j’ai été agréablement surpris par la simplicité d’utilisation, la qualité des finitions et du son restitué. Ces écouteurs me semblent être un bon compromis entre le prix, la qualité du son et la facilité d’utilisation au quotidien.</t>
  </si>
  <si>
    <t>Bien bon produit je suis satisfaite de mon achat et le recommande sans soucis ravie de mon achat quoi ! !</t>
  </si>
  <si>
    <t>conforme a ma demandes . conforme a ma demandes .</t>
  </si>
  <si>
    <t>Déçue Si vous avez l'habitude des biberons mam avec valves anticolique je vous déconseille ce produit. Quand bébé boit la tétine reste toujours "enfoncée". Domage leurs deco sont plutôt sympas.</t>
  </si>
  <si>
    <t>Genial Je l adore tellement que je l ai acheté en double Très fin élégant  il se suffit à lui même L éclat du cristal est superbe A recommander ..</t>
  </si>
  <si>
    <t>Ma recherche sur Amazon était "chaussettes sans élastiques". Ces chaussettes en ont. En effet, je cherchais des chaussettes sans élastique (car en fin de journée, les élastiques "étranglent" la cheville et il est désagréable de voir sa jambe "déformée" à cet endroit.) Amazon a classé votre produit dans la catégorie "sans élastique", c'est pourquoi je les ai commandées mais je suis déçu.</t>
  </si>
  <si>
    <t>GRILLE PEU Montee en température de fonctionnement laborieuse  Fonctionne bien après une phase initiale qui i utile</t>
  </si>
  <si>
    <t>malgrés des chaussures venant de chine belle finition. livraison à l'heure et chaussure confortable.</t>
  </si>
  <si>
    <t>Frais Je travaille dans une salle de sport,il est très frais et agréable un peu grand cependant mais bien</t>
  </si>
  <si>
    <t>Très bon diffuseur Diffuseur très simple d'utilisation. Nous pouvons choisir si nous voulons que les leds soient allumés ou non. Nous avons 2 programmes, 1h ou 3h. Plutôt pratique ! Au niveau du design, il est très jolie ! Par contre, il fait un peu de bruit.</t>
  </si>
  <si>
    <t>Conforme Produit conforme, un peu fin pour moi... Je recommande quand même.</t>
  </si>
  <si>
    <t>Bon produit Bon rapport qualité prix et parfum agréable</t>
  </si>
  <si>
    <t>Super livre Il est génial ! En spirale en plus. Il est aussi intéressant pour petits et grands</t>
  </si>
  <si>
    <t>Bien J’aime bien le modèle baya... pris comme chaussons de jardin</t>
  </si>
  <si>
    <t>pratique les bandeaux sont pratiques surtout pour cacher un décolleté trop plongeant. La matière est agréable mais ils taillent quand même assez grand donc prévoir une taille en dessous si vous voulez qu'ils serrent fort.</t>
  </si>
  <si>
    <t>Rapport qualité prix excellent. Professionnalisme. Boucles de qualité, et argent veritable et poinconnée. Finitions impeccables et superbe pierres.  On en a largement pour son argent.</t>
  </si>
  <si>
    <t>Dommage Renvoyer car elle étais trop grande  prévoyais une pointure en dessous.</t>
  </si>
  <si>
    <t>Conforme Utilisation pour bebe Elle ne fait pas de réaction nickel Parfum agréable Bon rapport qualité prix Attention colis très abîmé j'ai eu un bidon qui a fuit...</t>
  </si>
  <si>
    <t>CONFORTABLE Produit reçu rapidement. Très confortable et apparemment solide. On verra à l'usage.</t>
  </si>
  <si>
    <t>pas déçu du tout, au contraire Exactement ce que je voulais, parfait !!!</t>
  </si>
  <si>
    <t>Bel effet Magnifiques. Légères. Brillants inclus discrets. A s'offrir et à offrir !</t>
  </si>
  <si>
    <t>Tout à fait satisfait Étant un habitué de marque comme Clairefontaine, je trouve que ce papier est très satisfaisant avec un vrai blanc. Le top</t>
  </si>
  <si>
    <t>Bon produit, je recommande Bonne coupe, pris taille L, rien à redire, moule bien comme sur la photo, je recommande, la couleur est telle sur la photo :)</t>
  </si>
  <si>
    <t>super le papier d armeni  la rose  sent tres bon</t>
  </si>
  <si>
    <t>Parfait Conforme à la description et la photo, niquel ! Livraison rapide, colie reçu 1 jour avant la date prévue</t>
  </si>
  <si>
    <t>Sac de ville Très bon produit qui correspond en tous points au descriptif Pas déçu par cet achat  Je le recommande à d'autre !</t>
  </si>
  <si>
    <t>Confortables mais trop «&amp;nbsp;souples&amp;nbsp;» Tres confortables et légères Helas apres qq utilisations les contreforts lateraux se laissent deja allée Aunsi que la semelle interne</t>
  </si>
  <si>
    <t>Pièce de cuire ridicule. Acheter ce produit et très déçu. Je ne les pas utiliser je fait un renvoi direct. La pièce de cuire faur 3cm dur 1,5 cm. Pas de la couleur demander en plus. Le produit et peu être efficace. Je cherche pas à comprendre je fait un retour.</t>
  </si>
  <si>
    <t>Bien Très bien pour les biberons jusqu'à 150ml. Mais pour plus ou alors pour mes petits pots, ce n'est pas le top. Mon fils ne mange pas si c'est tiède, il fait que ce soit un petit peu plus chaud. Je suis obligée de chauffer au micro-ondes...</t>
  </si>
  <si>
    <t>sceptique Je ne mets que 3* car ils correspondent bien à la description, seulement je ne trouve aucune différence que je lave avec ou sans!</t>
  </si>
  <si>
    <t>Casque haut de gamme Après l’avoir utilisé pendant presque 6 mois, je confirme qu’en se casque est excellent. Qualité sonore, robustesse, qualité du matériel. Seul bémol, si vous couplé votre casque avec un mixamp Astros pro tr, vous risqué d’avoir des problèmes d’echo Dans les party sur ps4 avec vos contactes.</t>
  </si>
  <si>
    <t>Bien Bon produit. Un peu étroit en largeur pour les pieds large !</t>
  </si>
  <si>
    <t>Dommage La qualité est assez bonne mais la taille n’est  pas bonnes.. Légèrement trop grands.. Dommage !</t>
  </si>
  <si>
    <t>Chauds chaussons Confortables et chauds, ils sont bien utiles les mois d'hiver. Je trouve que la forme est un peu trop prononcé pied égyptien, mais ce n'est pas bien grave.</t>
  </si>
  <si>
    <t>Une belle idée cadeau Pierre de lune porte-bonheur et pleine de reflets, boucles d'oreilles d'un style sobre et qui ne blessent pas.</t>
  </si>
  <si>
    <t>Superbe ! Ce pendentif est extrêmement joli. La perle est d'un blanc éclatant, et elle est délicatement sertie d'argent.  Je suis particulièrement satisfaite de sa taille: ce n'est pas un minuscule petit bijou.  La qualité est là, ça saute aux yeux.</t>
  </si>
  <si>
    <t>Produit qui fait le job ! Parfait pour ranger ma nouvelle carte, ça fait le job et le prix est correct. Le plastique est de bonne qualité donc vous ne prendrez pas de risque en achetant ce produit.</t>
  </si>
  <si>
    <t>ras très fonctionnel grand gabarit mais c'est ce que je recherchais</t>
  </si>
  <si>
    <t>Vraiment sympa Ils ont fière allure mon cul de filles est déjà serré n génial. Cela aide beaucoup aussi! N'aimez pas que vous puissiez voir à travers eux un petit peu et je ne veux vraiment pas qu'elle y sorte lol trop jalouse! Là-bas, elle les aime bien car ils aspirent aussi les tripes.</t>
  </si>
  <si>
    <t>Tout bon ! Kit idéal pour les premiers biberons de bébé : 4 biberons en 2 tailles avec tétines, goupillon, et sucette. Parfait pour faire un cadeau. J'ai utilisé cette marque pour tous mes petits et j'en suis pleinement satisfaite. Les biberons larges se nettoient facilement et passent au lave-vaisselle. Leur forme est agréable en main et ils vieillissent très bien dans le temps. Tout bon !</t>
  </si>
  <si>
    <t>Super et légère Très belle et bonne taille je recommande sans hésitation</t>
  </si>
  <si>
    <t>Indispensable pour les bébés allaités! Bébé de 3 mois l'a trouvé a son goût de suite... Super bien pensé le système anticolique ainsi que la tétine qui imite le mamelon.</t>
  </si>
  <si>
    <t>Je recommande ce produit Tres bon produit facile d'utilisation,  sympa pour pouvoir voir des choses qu on avais pas vu . Livraison très rapide et la marchandise conforme à la description et en parfait fonctionnement</t>
  </si>
  <si>
    <t>réglage de l intensité lumineuse lampe de lecture,super!</t>
  </si>
  <si>
    <t>Très bien Bon produit Montre pour mon enfant PS: attention, c'est un tour de poignet pour enfant, pas pour un adulte  ...!</t>
  </si>
  <si>
    <t>Bon rapport qualité / prix Bon produit. Pratique, se glisse parfaitement dans mon sac</t>
  </si>
  <si>
    <t>Belles et confortables Baskets tres sympas coté look et très confortables. Prendre une taille en plus comme indiqué et elles vont parfaitement !</t>
  </si>
  <si>
    <t>De très bonne qualité pour le prix J'adore ce sweat à capuche. J'le ressens pas, mais dès que je l'enlève, ça met un bon coup de froid. ^^ Les manches sont trop longues pour moi (en-dessous d'1m60), mais c'est pas dérangeant pour la maison. Je pense qu'il est adapté à la taille si vous prenez la bonne taille. Perso, j'ai pris trop grand, mais de mon plein gré. En somme, très ravie de mon achat.</t>
  </si>
  <si>
    <t>PARFAIT Bon casque mais je n'arrive pas à m'en servir sur mon téléphone portable honor juste sur mon téléviseur.. Des grésillements cela est il normal ?? Manque d'explications sur la base et le casque sinon je mettrai 5* partout  Plus de grésillements j'ai baissé tout simplement le son sur la base où sur le téléviseur et monté le son sur le casque impeccable !!! En plus j'ai pu le connecté avec mon téléphone portable et répondre à un appel impromptu.. Merci ça mérite 5🌟</t>
  </si>
  <si>
    <t>Je ne recommande pas je suis désolé Je suis déçu de mon achat je trouve les écouteurs ont aucunes classe c’est gros à vos oreilles aucune discrétion je l’ai choisi parce que c’est sony le son c’est médiocre moi qu’il suit un adepte de bon son je contacte un casque à 10€ à un meilleur qualité. Je me demande est-ce que c’est vraiment un casque Sony c’est à voir faite votre enquête amaron</t>
  </si>
  <si>
    <t>Nullissime Ne marche pas plus d'une dizaine de fois. Après démontage, le mécanisme, tout en plastique, ne tient plus. Une belle bouze en résumé. Le premier a été remplacé. Le deuxième part a la poubelle.</t>
  </si>
  <si>
    <t>Wanderlust scratch off map Aucune explication pour savoir comment gratter. Très très difficile à gratter avec une pièce de monnaie, le papier se déchire, il faut gratter comme un fou. Trop cher et très mauvais produit. A déconseiller.</t>
  </si>
  <si>
    <t>Pas adaptée Cette tétine n'était pas adaptée à notre fils qui depuis toujours ne boit qu'avec une tétine naissance de cette même marque. Cela est peut être dû à l'allaitement et non à la qualité de cette tétine. En effet, la tétine a un débit trop important pour lui et il "s'étouffe"...</t>
  </si>
  <si>
    <t>Très bien Très agréable depuis 3 semaines rien à dire porte tous les jours 8 à 10 heures confortable et légère</t>
  </si>
  <si>
    <t>chaussettes puma belles chaussettes qui vont a mi chevilles confortables . le coton dans le temps ne tient pas s usent assez vite. pour le prix et le lot je pense en reprendre</t>
  </si>
  <si>
    <t>bien mais alors moi je crois qu'on doit tout de suite parler des limites de ce chauffe bib ! comme tout matériel les limites sont parfois rébarbatives mais voilà : c'est long (environ 10 min ) pour un lait tiède c'est un coup (pas de 2è chauffe possible alors attention long trajet ! faut "recharger" en le faisant bouillir donc... ) c'est pas toujours à la bonne taille du bib (j'en ai de plusieurs tailles et certains sont trop larges !)  sinon tout est bien car c'est très pratique lorsqu'on sort quelques heures !</t>
  </si>
  <si>
    <t>souple resistante et et très chouette design Trés chouette et resistante pour le skate , je recommande</t>
  </si>
  <si>
    <t>bonne qualité Pantalon homme bien coupé,joli coloris et très bonne qualité.mon mari est ravi.</t>
  </si>
  <si>
    <t>Très bel article Sweat-shirt bien coupé, sobre et élégant. Très confortable,doux au toucher, chaud mais pas étouffant,c'est un article que je recommande vivement.</t>
  </si>
  <si>
    <t>ca colle bien ras</t>
  </si>
  <si>
    <t>Gommettes coeur , rond , et smileys Commette super il y en a des petites des grandes  , elle sont très facile a décoller mes enfants  Ont adorés  les smileys . Produits conforme et très satisfaisant.</t>
  </si>
  <si>
    <t>vraiment bien. Taille petit. Je suis très contente de ces bottillons, doux et agréable. Je taille 39/40, j'ai pris de 41, mais du 42 aurait pu aller, surtout que j'aime ajouter une semelle. Semelle pas indispensable, d'ailleurs. Donc ça va.  Merci.</t>
  </si>
  <si>
    <t>Sockette Sockette bonne qualité</t>
  </si>
  <si>
    <t>Bien Sera tester à la naissance</t>
  </si>
  <si>
    <t>Tres bon produit Bien supert pour mon travaille excellent</t>
  </si>
  <si>
    <t>Bijoux Trés belle parure.conforme à la photo.</t>
  </si>
  <si>
    <t>Super Tres rapide je suis ravie</t>
  </si>
  <si>
    <t>fonctionne nickel !! j'ai acheté ce kit blue tooth pour mon ancienne voiture. il fonctionne parfaitement : on entend très bien nos interlocuteurs qui nous entendent également très bien. la batterie tient plusieurs jours sans être rechargée et le kit très discret peut être caché derrière le pare soleil. J'ai offert le mien à ma nièce en changeant de voiture, et j'ai en acheté un autre pour ma sœur. Très bon rapport qualité prix</t>
  </si>
  <si>
    <t>Rien à voir avec des écouteurs téléphone. Les écouteurs sont livrés dans un bel emballage et une pochette bien pratique pour les ranger. Ils sont rechargeables à l'aide du câble usb fournis et on y trouve plusieurs taille d' embouts en caoutchouc pour adapter à notre oreille suivant sa morphologie. Les écouteurs tiennent plutôt bien en place, je les ai testé hier lors de mon footing pendant 1h. La notice est malheureusement en anglais mais la mise en route se fait facilement, il suffit d'appuyer sur le bouton rond 3 secondes pour lancer la synchronisation en bluetooth. Il y a aussi 2 autres bouton qui permettent de changer le volume et de changer les pistes audio, cela fonctionne même avec Deezer, c'est parfait.  Pour ce qui est du son, je suis bluffé !!!. Les bass sont bien présentes et le relief sonor bien equilibré. Le volume sonore et lui aussi bien puissant. Au niveau autonomie je ne peut rien dire car je ne les ai pas testé assez longtemps.  Ils font aussi kit main libre mais je n'ai pas encore testé nonplus.  Je recommande ces écouteurs qui ont un rapport qualité/prix au top.</t>
  </si>
  <si>
    <t>Parfait pour cafetière à piston Bialetti Acheté, il y a quelques mois maintenant, en remplacement du filtre de ma cafetière à piston Bialetti (cafetière 3 tasses) qui s'était déchiré, j'en suis très satisfaite. Il est même de bien meilleure qualité que le filtre Bialetti original !</t>
  </si>
  <si>
    <t>Magnifique Ne brille pas autant en vrai mais le collier reste tout de même magnifique</t>
  </si>
  <si>
    <t>Sac magnifique bien proportionné et réalisé J'avais acquis par maladresse le modèle de taille inférieure, mais que je garde tant il est beau et trouve son utilité, puis vu que la taille au dessus existait. . comme de photo je trouvais le couleur café très joli et fort de la satisfaction sur cuila, j'ai resisté . . 3 semaines avant de craquer. Alors étrangement ils sont présentés comme identiques au même prix il me  (d'ailleurs très bien placé pour ce sac ici, pas les deux autres ) en réalité, les points communs en plus de ce qui mentionné précédemment, sont bien sûr la contenance et le dessin. Pour le reste strictement, mais strictement rien de comparable, ici cuir magnifique, doux au toucher robuste, comme le plus petit modèle, à part une fermeture éclair que j'ai résynchronisé, et qui semble tenir, finition sans reproche,  qualité perçue et ausculté à réception ,  encore plus parfait que le petit modèle à je crois euros 47 je crois, que je suis très content d'avoir gardé finalement, car les cuir, bien que magnifiques tous deux sont d'un ton légèrement différents, donc pas doublon., et tout comme le petit  il est beau agréable aéré, belle senteur de cuir qualité. Pas de complément à apporter aux images bien illustrées, conformément au produit, je pense néanmoins qu'on y gagner à mettre euros 6 de plus car celui ci est bien plus logeable que le petit sauf, si vous êtes réellement minimalist. A la grosse louche, je n'ai pas regardé les devices depuis longtemps, mais dans le petit porteuille, papiers clés  (ds la poche téléphone. .) Plus facilement deux galaxy note 4. Dans celui ci, ( le grand ) toujours pas de galaxy note dans la poche du haut. ..) en bas ni ipad ni galaxy note 10,  sous réserve car pas essayé mais rentrent l'équivalent galaxy note 8 et mini ipad 4, même ensemble je pense, tout dépendant de la coque. Tention, les fermetures éclair, c'est du costaud. ., elles montrent les dents. .. Voilà.  Je commenterai pas les deux autres couleurs car vu que considere comme modèles équivalents, en réalité j'ai retourné en 30 min le café, sans regret, car STRICTEMENT RIEN À VOIR qualitativement. Cuir dégueulasse,  gluant, qui pue le gasoil, rien que de toucher, les deviennent rouge, et le pompon j'ai porté un doigt aux alentours des yeux. . Bain d'oeil. No comment. Bon après les goûts et les couleurs. Certains aimeront qu'il soit tout mou,  son côté main moite, ou cheveux gras,  crasse de métro.  J'arrête. Après tout j'ai peut être eu 2x de la chance et 1xpas. ..moais</t>
  </si>
  <si>
    <t>Chausse petit Chausse petit prendre une demie voire une taille de plus</t>
  </si>
  <si>
    <t>Joli et silencieuse mais pas solide Après 1 utilisation.. La bouilloire HS... Verre fendu au niveau de la poignée Retour à l'envoyeur</t>
  </si>
  <si>
    <t>Bien mais... Correspond bien à la photo, la couleur orange est bien orange toutefois pas simple à mettre sur les chaussures de mon fils et la taille n ait pas forcément adaptée, ses chaussures sont finalement plus difficile à mettre qu avant...</t>
  </si>
  <si>
    <t>Pas pratique. Belle bouilloire avec des défauts elle perd pas chaque fois sans filtre lorsqu’on essaye de nettoyer la bouilloire en reversant l’eau.  Le couvercle retiens aussi l’eau lorsque vous le laisser entrouvert il y a de l’eau qui fuit et coule long de la bouilloire en clair vous en mettez un peu partout. Aussi à chaque fois que vous prenez la bouilloire en main la base reste accroché et retombe après coup, fait son travail.</t>
  </si>
  <si>
    <t>Bien choisir la pointure J'ai acheté ces chaussons pour pouvoir marcher comme pieds nus ! Elles sont idéales ! J'en suis très contente. Je chausse du 38 et j'ai pris la taille 36/38. Pour un 36 elles doivent être un peu grandes. Pour le 38, c'est parfait !</t>
  </si>
  <si>
    <t>Tres rapide Chauffe rapidement. Grace a la vapeur d eau on utilise pas beaucoup d eau. Facile d utilisation et nettoyage avec un chiffon humide</t>
  </si>
  <si>
    <t>Sympa mais un fin en haut Jolie casquette, mais en haut trop fin. Ce qui explique le prix.</t>
  </si>
  <si>
    <t>Très bon rapport qualités prix Très bonne expérience. le prix est bas et une qualité son très bien. mieux que certaines marques (Sony et autres) plus chères. les écouteurs sont livré dans une boite sphérique en fer, original pour ce genre de produit. la boite contenant, un petit sac pour mettre ses écouteurs et plusieurs mousse plastique de différentes tailles pour mieux s’adapter aux oreilles. il y a parmi elles des mousses à mémoires de formes. je préfères les classiques qui tiennent mieux pour les oreilles mais vous aurez le choix. le fil à l'air solide et les deux écouteurs sont aimantés, ce qui permet lorsqu'on ne les utilises pas, de ne pas se trimballer dans tous les sens. le son est bon voir très bon. de bonnes bass mais qui ne dénature pas les morceaux et des aigu claires. bref un sont équilibré. j'écoute beaucoup de musique et suis musicien. je bouffe régulièrement des écouteurs car ils deviennent défectueux en général au bout de six mois et par comparaison, je n'ai pas trouvé mieux rapport qualité prix. à voir dans le temps s'il tiendront plus de six mois mais je rachèterai si ce n'est pas le cas, probablement. un spécial plus (génial) pour le mail qu'ils envoie pour chaque commande. lisez le, vous verrez ça fait du bien de voir des startup qui peuvent ne pas se prendre au sérieux tout en faisant un sérieux travail. chapeau.</t>
  </si>
  <si>
    <t>OK mais pas parfait En comparaison d'une 'vielle' Casio solaire Wave: Le buzzer n'est pas très fort et le bracelet et moins souple en réglage entre deux maillons. L'autonomie me semble également moins grande mais peut être la charge n'était pas complète.  Par contre, finition supérieure et verre saphir (c'est un gros plus). Dommage que seulement 3 boutons pour les réglages.</t>
  </si>
  <si>
    <t>Montre casio Achetée pour mon fils . Il a eu une autre casio depuis 6 ans et c’est bracelet qui n’a plus tenu . La batterie était impeccable.. . Il a bien aimé la couleur bleu et il ne veut que des casio .</t>
  </si>
  <si>
    <t>Très bien On sent l'effet dès la première séance. La lumière est intense. Je l'utiliserai tout l'hiver pour diminuer les effets de la déprime saisonnière.</t>
  </si>
  <si>
    <t>Impeccable Crocs, rien à dire, je conseille.</t>
  </si>
  <si>
    <t>Nickel Écouteurs très pratique épouse bien mon oreille et une qualité de son impeccable idéal pour écouter de la musique regarder un film ou téléphoner</t>
  </si>
  <si>
    <t>Parfait &lt;div id="video-block-R36NX1HULG5BC9" class="a-section a-spacing-small a-spacing-top-mini video-block"&gt;&lt;/div&gt;&lt;input type="hidden" name="" value="https://images-eu.ssl-images-amazon.com/images/I/71tmmJlr9gS.mp4" class="video-url"&gt;&lt;input type="hidden" name="" value="https://images-eu.ssl-images-amazon.com/images/I/917-U3OIkqS.png" class="video-slate-img-url"&gt;&amp;nbsp;Excellent ! Le rêve devenue réalité ! Cet appareil de massage est juste parfait pour mes pieds hyper fatigué, stimule bien ma circulation sanguine. Pas bruyant du tout pour mes oreilles :p Bref je pourrais écrire un long chapitre des bienfaits de cet appareil de massage, mais ce serai trop long... :) Tout ce que je peux dire, c'est que je le conseille vraiment pour les fans de massages des pieds, c'est juste une merveille  !!! Merci pour toutes ces petites inventions technologiques  j'adore!</t>
  </si>
  <si>
    <t>Très bien Chaussettes de qualité. Achetées pour ma petite fille qui en est très satisfaite. Très bon rapport qualité/prix. Ne pas s'en priver !</t>
  </si>
  <si>
    <t>Nikel Très content pour mon achat</t>
  </si>
  <si>
    <t>Top Ces biberon sont parfait pour continuer à donner son lait maternelle quand in reprend le travail ! Le seul bib qu'elle a accepter direct !</t>
  </si>
  <si>
    <t>Masque très efficace ! J'évite habituellement ce genre de produits qui sont loin d'être naturels, mais j'avoue que je suis accro à ce masque. Je souffre de quelques boutons d'acné sur le menton (à bientôt 30 ans...), Avec ce masque ils ont considérablement réduits ! Je l'utilise environ 2 fois par semaine lorsque je trouve que j'ai mauvaise mine, il me laisse la peau douce et un teint plus lumineux. Lorsque je sens qu'un bouton va apparaître, j'applique avec un coton tige sur le bouton concerné et laisse poser toute la nuit, le lendemain je n'ai plus à m'en soucier ! Je l'ai même utilisé sur un bouton d'herpès, il a presque disparu en 2 jours, épatant ! La produit picote un peu, mais malgré ma peau très sensible, aucune rougeur après le retrait.  Je recommande fortement et pense essayer les autres masques de la gamme.</t>
  </si>
  <si>
    <t>Rapport qualité-prix imbattable. Jusqu’ici je n’ai pas eu besoin d’imprimer suffisamment de documents pour avoir assez de recul, ce retour d’expérience peut donc comporter des biais.  Rien à signaler concernant l’impression de textes.  Les images que j’ai imprimées - sur du papier de bonne qualité - ont quelques légers défauts, mais je soupçonne l’imprimante qui commence à dater dans cette logique d’obsolescence programmée.  Trop peu de recul pour juger du niveau d’encre, mais je doute que ces cartouches souffrent de la comparaison avec les «&amp;nbsp;officielles&amp;nbsp;», tant ces dernières sont chères et impriment peu de feuilles.  Lors de l’installation les cartouches étaient reconnues comme «&amp;nbsp;non- » de la marque. Après avoir redémarré l’imprimante, aucun message d’erreur n’est apparu.  Le point peut-être le plus important : le prix, celui du fabricant frise l'indécence, et là on observe un prix quatre à cinq fois inférieur.  En résumé : un produit hautement substituable, et nettement moins cher. Libre à vous de faire preuve de snobisme.</t>
  </si>
  <si>
    <t>Beau livre Magnifique. De beaux dessins, bien écrit... a offrir a vos enfants (garçon ou fille)</t>
  </si>
  <si>
    <t>Chaussures speedcross4 Produit conforme à la commande. De très belle facture et très confortable à l'utilisation. Un super grippe lors de l'utilisation en terrain forestier, de montagne. Arrivé très rapidement et très bien emballé !</t>
  </si>
  <si>
    <t>Efficace Efficace en tout point : rhume, douleur musculaire et migraine. Je le recommande</t>
  </si>
  <si>
    <t>Tb Tb</t>
  </si>
  <si>
    <t>J’adore leur parfum Je ne jurais que par soupline et déçue de ne pas avoir acheté plus tôt Cajoline car j’adore le parfum</t>
  </si>
  <si>
    <t>biberon excellent rapport qualité prix, facilité avec un demontage intégrale, très pratique bébé adore, et maman aussi. Je le recommande vivement.</t>
  </si>
  <si>
    <t>Problème d’usine ? La cartouche noire n’a jamais fonctionnée correctement. Malgré plusieurs tentatives de nettoyage des buses et alignements des têtes ça n’a jamais fonctionné convenablement</t>
  </si>
  <si>
    <t>le maniement des ventouses ! J'aurais aimer avoir une notice en Français , indispensable !</t>
  </si>
  <si>
    <t>DES RECHARGES QUI FONCTIONNE UNE JOURNEE Ces recharges ne fonctionnent pas plus de quelques heures .. c'est honteux je n'arrête pas de les changer ... on comprend le pourquoi d'un lot aussi avantageux</t>
  </si>
  <si>
    <t>Moyen Dans l'ensemble ça va, néanmoins je trouve qu'il n'est pas pratique lorsque l'on veut l'ouvrir à une main(et que l'on a bébé dans l'autre), et j'ai déjà eu des soucis avec la température...</t>
  </si>
  <si>
    <t>Basique efficace Sweat classique coupe confortable, prendre une taille en dessous</t>
  </si>
  <si>
    <t>utile,je recommand bon produit</t>
  </si>
  <si>
    <t>Qualité Commentaire tardif, car j'attendais de faire usage de ces cartouches ! Elles sont parfaites , vite installées et reconnues par l'imprimante aussitôt . Couleurs authentiques , excellent usage , et surtout excellent rapport qualité -prix ! Mais catastrophe à l'installation de la cartouche jaune ,  qui d'abord n'a pas été reconnue , puis comme usagée ... échec</t>
  </si>
  <si>
    <t>Elles sont agréable à porter Très bien pour le sport ou autre je les recommande</t>
  </si>
  <si>
    <t>Bien vous familiariser avec. Pour regarder l'heure. J'aime le modèle, le réglage de la montre n'est pas facile. Ce que je n'aime pas par contre c'est l'éclairage de l'heure, un simple allumage de l'écran et pas de rétro éclairage.</t>
  </si>
  <si>
    <t>QUALITE AVENT allié au verre ! TOP La formule des bi berons en verre c'est la SECURITE L'hygiène celà ne bouge pas ! INUSABLE QUALITE ++++++</t>
  </si>
  <si>
    <t>Confort Rien à dire ! Confort absolu, elles passent en machine sans problème !</t>
  </si>
  <si>
    <t>short rouge ma fille fait du 34/36 et il lui va parfaitement, fin pas trop chaud idéal pour l'été ou sous une jupe</t>
  </si>
  <si>
    <t>Le plus pratique Très pratique grâce au goupillon tournant</t>
  </si>
  <si>
    <t>Adieu les douleurs Faisant pas mal d'exercice physique, j'avais des douleurs en haut du dos. En utilisant ce coussin le soir avant de me coucher, je n'ai plus de douleur. Le mouvement est agréable. Le coussin convient parfaitement à  ceux qui, comme moi, préfèrent les massages "durs"</t>
  </si>
  <si>
    <t>J'adore Jolie colier idéal pour mon fils il fait 2en1 😁😁</t>
  </si>
  <si>
    <t>très jolie montre Après plus d' un mois d' utilisation, je dois dire que je suis vraiment content de mon achat. Cette montre est vraiment de bonne qualité, ni trop grosse ni trop petite et je n' ai pas un gros poignet... Esthétiquement elle est magnifique !!</t>
  </si>
  <si>
    <t>Légères et résistantes Ces chaussures aquatiques sont très confortables et agréables à porter. Elles sont en néoprène, le textile est doux et extensible. Ces semelles sont en mousse alvéolée épaisse et super moelleuse. On a l'impression de marcher sur un nuage... Côté look, ces chaussures sont également très jolies avec leurs semelles assorties. Très bien finies, bonne pointure, produit de qualité.</t>
  </si>
  <si>
    <t>Très beau sweat shirt Sweat très léger mais assez agréable au toucher, J adore le motif c'est pour ça que je l ai acheter Je suis très satisfait</t>
  </si>
  <si>
    <t>Excellent pour ce qui est du son  (complément ) Après plusieurs semaines de rodage, mon opinion sur ce casque se confirme. C'est excellent. Le son est équilibré, aucun registre n'étant mis en avant. La véracité des timbres, la finesse,  la précision de la polyphonie sont au rendez-vous.  Le seul point regrettable, pour ce qui me concerne , se situe dans le confort : le serrage n'est pas vraiment réglable, cela me fait mal autour de l'oreille gauche. Ensuite, le simili cuir est désagréable. On aurait beaucoup gagné en le remplaçant par du velours. Mais le rapport qualité-prix reste très très favorable. Complément ajouté un mois après : j'ai remplacé les oreillettes en skaï par des oreillettes en velours, trouvées sur Amazon : l'apport est très important pour le confort, ça ne vaut pas la peine de s'en passer. Encore une fois, dommage qu'AKG ne propose pas cela en option. Attention à bien choisir ces oreillettes, toutes ne conviennent pas : certaines sont trop épaisses et éloignent trop l'oreille de la membrane active.</t>
  </si>
  <si>
    <t>Très bonne qualité /prix Pour tout les jours</t>
  </si>
  <si>
    <t>Très bon microphone Avant j'utilisais le micro de mon casque mais celui-ci captait tous les bruits de mon clavier même en testant plusieurs réglages. J'ai donc décidé d'acheter un micro à part. Je suis absolument ravie avec cette article. Le fait qu'il soit unidirectionnel attendu les bruits de mon clavier qu'on entend quasi plus du tout. Ma voix est également beaucoup plus claire, tellement qu'on a l'impression que je parle directement dans les oreilles de mes interlocuteurs.</t>
  </si>
  <si>
    <t>Top Top</t>
  </si>
  <si>
    <t>Pratique Beau design, assez grand pour tout mettre, très pratique à transporter</t>
  </si>
  <si>
    <t>Très bien Excellent produit pour nettoyer les biberons, bien moins moussant qu’un produit vaisselle et se rince bien mieux. Attention, cependant, à ne pas laisser le flacon au soleil la journée car sinon le liquide «&amp;nbsp;tourne&amp;nbsp;»et est bon à jeter !</t>
  </si>
  <si>
    <t>Durable Gros obre matériel tros feble  mais confortable</t>
  </si>
  <si>
    <t>Bof Déçue +++ Aucune information qu il s agissait de basket en cuir et non toile. Mauvaise description du produit .</t>
  </si>
  <si>
    <t>Non conforme Sweat trop petit Taille S et L équivalent 10 et 12 ans. Défaut de fabrication très fin et non conforme à sa description. Je demande le retour et remboursement de mes 2 articles pas de réponses à ce jour. Ne recommandé absolument pas</t>
  </si>
  <si>
    <t>Montre a gousset Très belle montre de poche dans l'ensemble, il n'y a que la chaîne qui me déplaît, dommage qu'elle ne soit pas dans les mêmes ton de jaune que la montre.</t>
  </si>
  <si>
    <t>Bonnes chaussures Bonnes chaussures mais semelles très fine.</t>
  </si>
  <si>
    <t>Jolie et légère. Belle conception mais paraissant un.peu fragile. À voir dans le temps.</t>
  </si>
  <si>
    <t>Beaux bracelets Produit conforme à sa description et livraison rapide et dans les délais.</t>
  </si>
  <si>
    <t>Joli sans plus Joli mais assez volumineuse... dommage.</t>
  </si>
  <si>
    <t>satisfaite de mon achat pantalon demi-saison, assez léger et chaud à la fois (non préconisé pour l'hiver). bonne tenue et fait une jolie silhouette féminine. peut être que pour une grande faisant une taille 36 sera un peu court, car je mesure 1.56 et je le trouve juste comme il faut en longueur.</t>
  </si>
  <si>
    <t>très bien Facile d'utilisation, fourni avec piles et secteur. Donne des températures fiables et produit de bonne facture.</t>
  </si>
  <si>
    <t>Encre pour imprimante Encre pour imprimer .Conforme à la description faite par le vendeur</t>
  </si>
  <si>
    <t>Nickel Acheté pour avoir un micro de qualité lors de mes séances de jeu avec des amis, ce micro est top. Le bras fournie est très pratique et le micro en lui même a une super qualité. Les boutons de volume marchent bien et permettent également d'éteindre le micro, pratique pour la vie privée quand connecté constamment à l'ordinateur.</t>
  </si>
  <si>
    <t>Tres belle coupe Tres belle coupe. Par contre,  ce n est pas du cuir ou alors pas du bon</t>
  </si>
  <si>
    <t>Agréable Achèté pour faire un cadeau et la personne est ravie, peu de bruit et détente agréable</t>
  </si>
  <si>
    <t>RAS Ultra pas cher, donne l'heure correctement. Parfait pour les vacances pour pas tuer ma belle montre à la plage. youpi</t>
  </si>
  <si>
    <t>Produit top pour loisirs créatifs J utilise ce est flacon coeur  pourlà resinet inclusion et déco sur la création et  la fimo c est tout à fait ce que je recherché les couleurs sont au top il y en a pour un moment créateur je vous les conseils Merci</t>
  </si>
  <si>
    <t>Huiles essentielles pour diffuseur Prix bas pour le lot mais je ne pense pas que les huiles soient vraiment des extraits de qualité car peu de senteur</t>
  </si>
  <si>
    <t>Parfait Parfait</t>
  </si>
  <si>
    <t>parfaite Elles sont encore plus jolies en vrai que sur la photo. Elles taillent bien et sont confortables. La matière du dessus se salie un peu vite.</t>
  </si>
  <si>
    <t>Super Super pratique quand on doit bouger et éviter de prendre la grosse boîte de lait ! Je l'utilise également pour la nuit pour avoir les doses déjà prêtes et gagner quelques secondes précieuses sur la préparation du Bibi !! J'aime beaucoup le petit bec verseur pour éviter d'en mettre partout, surtout la nuit quand on est pas encore réveillé !</t>
  </si>
  <si>
    <t>👍 Magnifique 👍</t>
  </si>
  <si>
    <t>Satisfait Ces sabots sont très légers et épousent bien la forme du pied à voir à l'utilisation journaliére</t>
  </si>
  <si>
    <t>Mes nouveaux alliés au quotidien. J'ai eu beaucoup de mal à me faire à la mousse les premiers jours. Une fois qu'elle avait prit la forme de mes oreilles, c'était parfait! Le son est vraiment bien, la molette permet de baisser le son sans avoir à sortir son téléphone ou Ipod ou autre. J'ai eu la bonne surprise de découvrir qu'ils servait de kit main libre avec lequel on peut décrocher et raccrocher.  Les aimants permette d'éviter des noeuds. Mais surtout la matière rend les fils presque impossible a emmêler.  Je recommande.</t>
  </si>
  <si>
    <t>Parfait ! Ces tétines correspondent bien à celles que j'utilise d'habitude, on trouve le numéro 4 pour ce débit rapide. Je suis donc très satisfaite de mon achat.</t>
  </si>
  <si>
    <t>Pas basket Adidas Quand on signale une marque  j'aimerais n'avoir que celle ci .. Et non autre chose. ..</t>
  </si>
  <si>
    <t>Ne vaux pas sont prix Qualité du cuir médiocre ! Abîmé au bout de seulement 3 jours avec son système de glissoire sa rape le cuir .. déçu</t>
  </si>
  <si>
    <t>bad quality sound j’étais complètement déçu de la qualité de son pour ces écouteurs, il ya aucune base et des parasites dans le son ....... je ne le valide pas !!!!!</t>
  </si>
  <si>
    <t>Bien mais taille petit Très beau bracelet de bonne qualité. Seul bémol, taille petit</t>
  </si>
  <si>
    <t>Très légères pour essayer mais un peu petit</t>
  </si>
  <si>
    <t>Agréablement surprise Franchement pour 7euros je m'attendais pas du tout à ça. La qualité du son et vraiment bien, le maintien est cool mais bon pour courir c'est pas très pratique enfin perso j'ai jamais vu des écouteur avec fil pratique pour courir. Mais vraiment Super écouteur</t>
  </si>
  <si>
    <t>Magnifique collier Très satisfaite le collier tout à fait ce que j'attendais et même plus !!! Je le recommande à toutes mes dames..</t>
  </si>
  <si>
    <t>parfait pour le voyage petit encombrement et fait bien son boulot.</t>
  </si>
  <si>
    <t>Lampe sur pied Livrée très rapidement avec Prime, cette lampe correspond à ce que je cherchais à prix correct. La hauteur est bien adaptée pour l'utiliser près d'un canapé, le réglage de la luminosité est appréciable pour un bon confort de lecture. En plus, la consommation est faible grâce aux leds. Très contente de ma nouvelle lampe !</t>
  </si>
  <si>
    <t>Commande très beau sweat à capuche impeccable au niveau de la taille et de la qualité .Epais et tient au chaud. Merci aussi pour l'emballage. Félicitation à toute l'équipe AMAZON;</t>
  </si>
  <si>
    <t>Valeurs sûre. Super</t>
  </si>
  <si>
    <t>Rien à redire Rapport qualité/prix imbattable , surtout si on dispose à la fois d'un lecteur de carte bleues et un autres de carte VITAL. Quelque soit la qualité du papier on s'en tamponne un peu sur les bords !</t>
  </si>
  <si>
    <t>Super Mon fils adore la galette se livre la fait sauté de joie à sa réception Un vrai plaisir comme le reste de la collection et surtout qualitatif pour le prix. Je recommande vivement</t>
  </si>
  <si>
    <t>hs hs</t>
  </si>
  <si>
    <t>Super Belle chaussures de sécurité agréable à porter et légère</t>
  </si>
  <si>
    <t>très bien Ayant beaucoup de soucis de dos, ce matelas est parfait. il me détend et j arrive meme à m endormir dessus. je recommande</t>
  </si>
  <si>
    <t>bon sachets bons sachets, conformes, pas fragiles (je ne comprend pas les commentaires negatifs a ce sujet). attaches solides et qui fonctionnent bien</t>
  </si>
  <si>
    <t>Super Rien à dire de négatif. ces cartouches sont justes géniales. Comment je n'ai pensé plus tôt à le acheter . Epson est  tellement cher . don OUI je recommande ce pack ... bravo !!!</t>
  </si>
  <si>
    <t>Pour ouvrir facilement, faire coulisser le zip entre le pouce et l'index (Ne tirer pas) La qualité est bonne et l'épaisseur est correcte et suffisante pour mon usage Je les utilise pour ranger et surtout classer des composants électroniques comme des résistances (voir photo) Je recommande</t>
  </si>
  <si>
    <t>Chausson de Ville C'est du top!  je chausse du 45 donc j'ai suivi les recommandations et ai commandé au dessus.  Confortable comme jamais.  Je me fais l'impression d'être déjà au troisième âge.  Mais elles sont excellentes pour la marche.</t>
  </si>
  <si>
    <t>qualité Écouteurs sans fil de qualité. Ils sont design et élégants. La boîte de chargement est très belle et les matériaux sont de qualité. Les écouteurs remplissent bien leur rôle, la musique et les appels téléphoniques sont de très bonne qualité. On peut décrocher ou raccrocher depuis les écouteurs. De la même manière, il est possible de gérer la musique depuis les écouteurs. Autre point important, les écouteurs tiennent bien en place dans les oreilles. Des coussinets de différentes tailles sont livrés avec les écouteurs, ce qui permet de trouver la taille adaptée à ses oreilles. Bref, produit bien fini, joli et très pratique.</t>
  </si>
  <si>
    <t>Contente Je fais du 37 taille habituelle . Livraison rapide rien n'a dire . La basket et comme sur la photo</t>
  </si>
  <si>
    <t>Epatant Épatant pour une personne handicapée qui peut maintenant marcher d’ une façon plus assurée.</t>
  </si>
  <si>
    <t>Le confort Un peu déçu par la taille</t>
  </si>
  <si>
    <t>attention arnaque j ai commandé 4 paires de chaussettes de bain reçu qu une  paire et s a rien a voir avec les photos du produit attention semelle non rigide comme sur la phototrès mauvaise expérience avec ce marchand</t>
  </si>
  <si>
    <t>Belle montre Elle me rappelle la montre de ma mère enfant. Alors je l'ai achetée. J'avais auparavant une autre casio avec bracelet en plastique qui m'irritait. Pas de problème avec celle ci. Dommage que le rétroéclairage ne soit pas présent. Difficile de voir l'heure le matin en cette période hivernale. Surtout quand on a été habituée par une autre casio. L' écran digitale est trop petit et je ne m'en sers que pour la date.</t>
  </si>
  <si>
    <t>Pas mal Taille petite prévoir demi taille au-dessus.. Resistant un an</t>
  </si>
  <si>
    <t>Tres correct. J'ai acheté ce casque pour écouter la tv sans être embêtée par des voisins bruyants.  Réduction du bruit acceptable (à part pour le chien lol) , son stéréo très correct (avec une tv 4k ultra HD), il se connecte facilement et rapidement. Il est juste un peu grand, il serait parfait si on pouvait resserrer le casque. Je recommande pour les grosses têtes ou les hommes.</t>
  </si>
  <si>
    <t>Bien Malgré sa taille un peu plus petite que prévu pour du 43 1/3, ces chaussures de randonnée si vraiment très agréables en extérieur, je déconseille très fortement pour de la piste ou des surfaces plates car les crampons se dégrade très vite</t>
  </si>
  <si>
    <t>Très confortables et esthétiques Chaussant plutôt du 42,5 je n’ai pas pris de risques en achetant cette paire en 43. Le prix était intéressant et les chaussures sont confortables ! Je recommande.</t>
  </si>
  <si>
    <t>bon produit renvoyé ca trop grand contente du produit, beau et con fortable mais pour la taille plus grand que prévu puisque je mets du 38  d'habitude alors dommage</t>
  </si>
  <si>
    <t>Conformément à la description Super produit</t>
  </si>
  <si>
    <t>Super! Mules très agréables tant pour la maison comme pour allé au sport ou à la piscine. Bonne résistance et confortables à la marche!</t>
  </si>
  <si>
    <t>Excellente chaussures de marche (pas randonnée) J'ai acheté ces chaussures pour mon voyage en Israel, voulant en profiter pour changer de chaussures. J'ai été totalement satisfait car faisant plus de 10km de marche les premiers jours, ces chaussures ont été parfaitement confortables et résistantes. Je les porte désormais presque quotidiennement et le résultat est tout aussi satisfaisant. Excellentes chaussures de marche. Mais ce ne sont pas des chaussures de randonnée toutefois bien entendu.</t>
  </si>
  <si>
    <t>Top Je me suis achetée ce micro il est venu en bon état micro super bon qualité un bon son ideal pour le karaoké il vaut son prix je vous le recommande</t>
  </si>
  <si>
    <t>Excellente qualité Franchement, je ne regrette pas du tout cet achat ! Excellent qualité accoustique, et vraiment un casque antibruit ( le simple fait de le mettre sur les oreilles : incroyable, on entend pratiquement plus rien autour de soi) . Je l'ai utilisé alors qu'il y avait beaucoup de bruit autour de moi, et je n'entendais rien d'autre que le film que je regardais. De plus , le casque est très solide et très agréable à porter</t>
  </si>
  <si>
    <t>Super ! Correspond à la description, aucun soucis</t>
  </si>
  <si>
    <t>Parfait. Parfait.</t>
  </si>
  <si>
    <t>Écouteurs  bluetooth Ecouteurs bluetooth de grandd qualité avec une bonne ergonomie. Le design est comfortable et ne gêne pas pendant leport. La qualité du son est excellente. Les fonctions sont classique mais fonctionelle.</t>
  </si>
  <si>
    <t>Parfait Très contente! Le film plastique adhère bien et est très facile d’utilisation</t>
  </si>
  <si>
    <t>Belle boucle d'oreille Ma femme à adoré</t>
  </si>
  <si>
    <t>Sacoche sympa Très bonne finition. A voir dans le temps mais je suis satisfait de mon achat. L’ipad Pro rentre dedans donc je suis content. Je la conseille.</t>
  </si>
  <si>
    <t>comme prévu j'ai bien retrouvé celles que j'avais depuis des années !</t>
  </si>
  <si>
    <t>Bicarbonate de soude Très bon rapport qualité prix. Acheter pour effectuer ma lessive. Il remplit ces fonctions. Une dosette est dans  la boîte.</t>
  </si>
  <si>
    <t>Mon pere l'adore! Un cadeau parfait pour mon pere, c'est chic!</t>
  </si>
  <si>
    <t>bien ras</t>
  </si>
  <si>
    <t>1 micro ne fonctionne deja plus Bonjour vraiment dommage matériel utilisé peu de foi un micro ne fonctionne pas . que dois-je faire ? Je vous le renvoie ? La durée de vie n’est pas correcte . Cordialement</t>
  </si>
  <si>
    <t>Trop fins épaisseur de 50 microns c'est bien trop fin ! et le zip se ferme mal.</t>
  </si>
  <si>
    <t>Gilet manteau Trop petit  plutôt un gilet</t>
  </si>
  <si>
    <t>modèle fin et joli , mais matière décevante. commande arrivée très vite,  mais déçue par le produit , prévu comme cadeau de Noël. Le modèle est joli pour une jeune fille , mais  l'argent donne une impression d' inox...donc impression  de "bon marché". Cadeau renvoyé, dommage....</t>
  </si>
  <si>
    <t>bon prodiut utilisation tous les jours, je marche beaucoup.</t>
  </si>
  <si>
    <t>Fabrice Bon produit et rapport qualité prix très correct. Le bracelet est un peu moins souple que le modèle original</t>
  </si>
  <si>
    <t>bon produit ce réveil semble de bonne qualité et est très esthétique ; la fonction veilleuse est très pratique au moment du coucher et également il s'allume quand il sonne ; il est assez simple à utiliser, c'est le premier réveil de mon fils de 6 ans et il a choisi la "sonnerie" des petits oiseaux pour se réveiller, il est très content.</t>
  </si>
  <si>
    <t>Bon produit Bon produit très séduisant La longueur de la chaîne est parfaite et le pendentif très joli Il a beaucoup plus une fois offert</t>
  </si>
  <si>
    <t>Conforme. Cartouches conformes à mes attentes avec le petit plus : une enveloppe afin de recycler ces anciennes cartouches. Pour cela vous avez juste besoin de glisser vos anciennes cartouches dans ces enveloppes. Fermez là et postez là... Pas de timbres, Pas de complication !</t>
  </si>
  <si>
    <t>Commentaire sur mon achat Je ne l'ai pas encore lu mais ce livre est arrivé en très bon état, c'est exactement ce que j'attendais.</t>
  </si>
  <si>
    <t>Superbe montre ! Ça fait maintenant 4 mois que je possède cette montre et je peut vous dire que je ne suis absolument pas dessus ! La montre est très jolie, super bien finie et est plutôt précise. Excellent rapport qualité / prix. Montre supérieur en qualité a une Orient 2ER0001B pour les connaisseurs. À acheter les yeux fermés.</t>
  </si>
  <si>
    <t>Vraiment bien! Bonne taille, ne glisse pas! Parfait!!</t>
  </si>
  <si>
    <t>Bon produit Une belle paire de chaussures Taille comme prevue habituellement il me faut un temps d'adaptation , ampoules, mal aux pieds Mais là aucun de ces problèmes Elles sont très confortable Pour la qualité à voire Dams le temps</t>
  </si>
  <si>
    <t>Parfait Très bon pinceaux . Avec les deux palettes c'est super .  Il sont adaptée à toute sorte de peintures conforme dans la descriptions. Livré rapidement je les recommande .</t>
  </si>
  <si>
    <t>Que la durée de vie est très courte On est loin du nombre de photo-copie décrit par le fabriquant; Pour ma part je fais beaucoup de copies en version "brouillon" et je n'arrive pas à la quantité prévue par le fabriquant, alors en version "optimal" je vous raconte pas. Cordialement</t>
  </si>
  <si>
    <t>top franchement pour le prix il y a tout un tas de couleur différentes, il y a une bonne quantité de peinture dans chaque pot, elle n'a toujours pas finis un pot malgré que nous faisons souvent de la peinture. La peinture s'efface très bien en nettoyage sur les habits ou autres, attention par contre si par malheur vous en avez mis sur du bois, il faut nettoyer rapidement car la couleur va s'enfoncer dans la matière</t>
  </si>
  <si>
    <t>Vans Super belle merci</t>
  </si>
  <si>
    <t>Bonne qualité Mon père les aime trop. Elle sont super méga solide. Il est a depuis deja 3 mois et sans aucune modification.</t>
  </si>
  <si>
    <t>Très bien Très bien le renfort soyeux et au lavage reste bien</t>
  </si>
  <si>
    <t>mieux que videomic pro Rode plus pratique, plus précis, un appareil semi professionnel à un prix plus qu'abordable</t>
  </si>
  <si>
    <t>de bonne facture Parfait léger pour personnes âgées</t>
  </si>
  <si>
    <t>Belles couleurs et pigmentation De beaux crayons, de belles couleurs dont la couleur chair si rare dans les boîtes de crayons enfant. Le côté tout support et aquarelable leur donne un plus.</t>
  </si>
  <si>
    <t>très élégant Taille super bien et a un rendu sublime. Ma fille de 12 ans adore. Attention taille juste pris en 36 alors qu'elle porte des jeans de taille 34. Je recommande</t>
  </si>
  <si>
    <t>Bracelet en simili cuir, demande un vrai bracelet en cuir comme dans la descrip Je ne suis pas sûr que le bracelet soit un véritable cuir  ?? Merci  beaucoup . Demande un bracelet conforme a la vente  c’est à dire en cuir</t>
  </si>
  <si>
    <t>Possible contrefaçon ! Comme j'ai pu le lire dans certains commentaires précédents, il semblerait que les chaussures que j'ai reçu soient elles aussi des contrefaçons. Les flashcodes derrière les languettes on été brulés en quatre points (fer à souder je pense) et les numéros de séries aussi, de plus la qualité du cuir fait très plastique/synthétique. Enfin la forme des chaussures semble plus large que les Converses originales. En dehors de ça, elles sont assez bien finies, tiendront-elles le coup en marchant avec trois fois par semaine ? Je suis déçu car même si je cherchais le prix le plus bas je ne voulais pas me retrouver avec des imitations. La procédure de renvoi me paraissait trop contraignante et j'ai donc abdiqué. On ne m'y reprendrai plus à l'avenir.</t>
  </si>
  <si>
    <t>Semble conforme J'ai acheté ce porte filtre en remplacement du précédent qui donnait des signes d'oxydation. Apparemment, il est identique à l'original. Est ce que le verroullage tiendra le coup ? C'est l'avenir qui le dira.</t>
  </si>
  <si>
    <t>Fragile et légère Pas très bonne qualité</t>
  </si>
  <si>
    <t>Bien pour le prix Pour le moment produit de qualité. En espérant que ça perdure avec l'usure du temps. En tout cas excellent rapport qualité prix.</t>
  </si>
  <si>
    <t>Chaussures rose Mise a par l odeur de plastique  neuf qui persiste  je suis satisfaite  de mon achats  . Elles sont très confortables</t>
  </si>
  <si>
    <t>Casque pour les filles J’aime le rose c’est très girly joli casque par contre je pense qu’il faut manipuler l’arceau avec délicatesse car semble fragile à voir sur le temps</t>
  </si>
  <si>
    <t>jogging Pantalon de jogging  Fruit ou  thé Loom commandé  en Xl  mais un peu grand , prendre une taille dessous , sinon tout coton fait quelques  peluches Je mets 4 étoiles .</t>
  </si>
  <si>
    <t>Son top Bon mais l'arceau di casque fait mal à la tête lorsqu'on le porte longtemps (au bout de 45 min de train je commence à le sentir)</t>
  </si>
  <si>
    <t>super affaire La commande est arrivée super vite. Les sandales sont parfaites à la bonne taille et avec une belle finition mate. Je conseille cet achat.</t>
  </si>
  <si>
    <t>idéal pour les appels Un bon casque pour les appels car la voix est claire et le microphone fonctionne bien. il est facile à coupler avec n'importe quel appareil et peut être rechargé simplement en le plaçant sur le quai et il se recharge. Batery dure environ 5-6 heures en utilisation continue. La qualité de la musique est également bonne, mais comme elle n’est que mono, je vous déconseille de l’utiliser pour écouter de la musique ou regarder des films.</t>
  </si>
  <si>
    <t>Très bien Parfait</t>
  </si>
  <si>
    <t>Satisfaite Bonne quantité, jolie et bonne taille je valide</t>
  </si>
  <si>
    <t>bien pour 10 ans offert a un petit scientifique, enfant et parents très contents de ce cadeau qui les a bien occupé cet été</t>
  </si>
  <si>
    <t>Parfait Super produit !!!</t>
  </si>
  <si>
    <t>Superbe Superbe dommage un peu grande prendre une taille en dessous de celle que vous mettez habituellement</t>
  </si>
  <si>
    <t>très bien ..Et pas cher la qualité du son est très bonne, assez clair avec beaucoup de basses. Le casque est bien fermé et ne s'entend pas trop à l'exterieur même avec un volume soutenu. Peut délivrer bien plus de son que mes oreilles ne le supportent ...  Je serai sourd avant de la faire saturer ... ;o)</t>
  </si>
  <si>
    <t>crocs sabots mixte adulte produit conforme !!! et surtout original .. ce qui n est pas souvent le cas.. en tout cas je recommande !!!</t>
  </si>
  <si>
    <t>Conforme Bon produit</t>
  </si>
  <si>
    <t>Parfait Rien à redire. L’outil est très bien et le bracelet plus agréable que l’original. Pas de problème de taille. Vraiment parfait. Un petit coup de jeune pour ma montre</t>
  </si>
  <si>
    <t>impeccable comme quoi pas besoin d'acheter des chaussures a 200€  33,99 suffit amplement j'adore</t>
  </si>
  <si>
    <t>parfaite je ne l'ai pas encore installée car la précédente acheté en début d'année fonctionne toujours et je précise que je m'en sers beaucoup.</t>
  </si>
  <si>
    <t>Je recommande Super biberon, je vais en acheter un deuxième lot</t>
  </si>
  <si>
    <t>Belles chaussures et confort garanti Chaussures de bonne qualité et très confortable , prix intéressant, j'ai bien reçu le produit dans le coloris voulu, réceptionné rapidement, que demander de plus , satisfait</t>
  </si>
  <si>
    <t>Déçue J'ai déjà acheté un "Pantalons sport femme Leggings de sport joggings Gris Capri YOGA running pants,L " Il est super. J'ai voulu prendre le même en noir . Sur la même ligne de produit, dans la même référence, j'ai pensé que celui ci était le même dans une autre couleur. Erreur ! Même en XL il est trop petit, alors que le L gris me va très bien, et la matière est très désagréable. Très déçue et pas moyen de contacter le vendeur pour savoir  pourquoi les deux références sont différentes alors qu'elles sont vendues sur la même désignation.</t>
  </si>
  <si>
    <t>Wand masseur . Depuis que je l'ai reçu , cet appareil ne prend pas la charge . Une fois branche il clignote un certain temps puis s'arrete , sans qu'il vibre en appuyant sur le bouton marche arret .</t>
  </si>
  <si>
    <t>Petit! Les boucles sont vraiment petites, sur l aphotos elles paraissaient un peu plus grosse. Elles sont vraiment toute toute petite</t>
  </si>
  <si>
    <t>bien Il est bien et pratique avec ses deux brosses dont une pour les biberons et la petite pour les tétines 5 mois que je l'utilise et toujours en aussi bon état.</t>
  </si>
  <si>
    <t>Une fois et puis s'en va Une seule utilisation par éponge pas plus Dommage c'est une éponge qui nettoie bien et produit leger et agréable en main</t>
  </si>
  <si>
    <t>Très sympa Voici un livre idéal pour donner envie à vos enfants d'inventer et de créer leurs propres BD. Livre acheté pour un anniversaire d'un enfant de 9 ans et il a vraiment accroché. Parfois il faut que l'adulte soit présent un peu pour expliquer mais le livre est très accessible et progressif. Surtout il stimule leur créativité autrement que par toujours jouer à la console de jeu:-) Bref un très bon achat; si vous avez plusieurs enfants faites des photocopies et les jours de pluie les enfants vont en redemander.</t>
  </si>
  <si>
    <t>Super qualité prix Pratique par son séchage rapide.</t>
  </si>
  <si>
    <t>excellent produit Comme d habitude avec converse pascde probleme. Taille qui convient parfaitement.rien a dire que du bon et de la qualite</t>
  </si>
  <si>
    <t>Plus que satisfait - Très bonne paire de chaussures qui sont à la taille prévu (je fait du 43).je les ai prise car elle sont moins chère et plus originale que les nike air force one.Avec un style vintage je recommande</t>
  </si>
  <si>
    <t>Confortable Top</t>
  </si>
  <si>
    <t>Très jolies ! Je chausse du 40 mai j’ai pris du 40.5 et c’est parfait!</t>
  </si>
  <si>
    <t>basket puma noire brillante super contente de ces jolies baskets puma noires brillantes livrées avec 2 paires de lacets : une classique et une autre paire de lacets ruban ! elles sont très confortables, on est très à l'aise dedans, le seul souci pour moi c'est la pointure : j'ai pris un 37 mais elles sont un peu grandes, un 36.5 aurait suffit, mais avec une semelle à l'intérieur c'est bon et bonus livraison plus rapide que prévue et prix au top 29 euros au lieu de 69 euros !</t>
  </si>
  <si>
    <t>Super service Très satisfait de ces piles.....</t>
  </si>
  <si>
    <t>bon rapport qualité / prix bon rapport qualité / prix</t>
  </si>
  <si>
    <t>Excellent Le rode VideoMic me à une qualité sonore excellente je suis très satisfait de ce produit</t>
  </si>
  <si>
    <t>Ravie de cet achat Superbes chaussettes avec un maintien du pied très agréable je recommande fortement ce produit j'ai pris trois lots pour mon homme et je crois bien que je vais en reprendre pour mon fils également</t>
  </si>
  <si>
    <t>montre de qualité L'affichage sur fond noir n'est pas tres facile a lire au 1er coup mais en inclinant la montre c'est bon  ! Aspect tres solide, la temperature est exact une fois reglée ! precision entre 0.2 et 0.5 degré pres !! si on la porte il faut prendre en compte la T du poignet donc soustraire des degrés pour avoir la T exact !! de l'air !! bracelet tres bon  !</t>
  </si>
  <si>
    <t>Rien a redire Facile à nettoyer et à monter , suffisamment de branche pour égouter plusieurs biberons/tetines/capuchon.  Bien penser à nettoyer la partie ou l'eau s'écoute pour pas que ça croupisse !</t>
  </si>
  <si>
    <t>Parfait Très bon  rapport qualité prix. Elles sont très confortables et le visuel et conforme à la photo. Très satisfait. Je recommande.</t>
  </si>
  <si>
    <t>Parfait pour bébé ! Ma fille souffrant de RGO depuis sa naissance, elle boit du lait AR et je dois lui rajouter un épaississant (MAGIC MIX) alors pour faire passer tout ça dans une tétine je vous raconte pas l'histoire mais avec ces tétines aucuns soucis ! Le mélange passe parfaitement et le débit n'est pas trop rapide ni trop lent. Elle l'utilise depuis ses 3 mois. Attention quand même car quand il m'est arrivé d'oublier de mettre le MAGIC MIX le débit était trop rapide pour elle (elle a 4 mois) je conseille donc ces tétines pour les bébés qui boivent du lait AR+épaississant sinon il vaut mieux rester sur du débit 2. Produit reçu en bon état et le jour prévu.</t>
  </si>
  <si>
    <t>magnifique j ai acheté les DVD pour mon neveu qui a 4 ans donc jamais vu ,il a adoré cela fait un moi maintenant et il la deja regarder 4 fois tellement qu il l aime je vais lui acheté le roi lion 2</t>
  </si>
  <si>
    <t>Parfait prendre une taille au dessus. Super, il faut effectivement prendre une taille au dessus de celle habituel mais article de bonne qualité.</t>
  </si>
  <si>
    <t>Très confortables Super top. J'ai pris ma taille 42 et elles vont très bien. De vraies pantoufles pour marcher. Très confortables.</t>
  </si>
  <si>
    <t>Lampe Très bien et diffuse une agréable senteurs</t>
  </si>
  <si>
    <t>Mauvaise qualité Élastique de tres mauvaise qualité. Le pantalon s’est détendu immédiatement apres quelques jours et avant même de l’avoir lavé. Je le perds alors que c’est bien ma taille</t>
  </si>
  <si>
    <t>Ne conseil pas Qualité mauvaise</t>
  </si>
  <si>
    <t>Déçu Commander le 24 mars et déjà décousu très déçu.. Je pensais que c'était de la qualité... Comment faire ???</t>
  </si>
  <si>
    <t>Mauvaise taille. Comment mesurer ? La bague est magnifique mais beaucoup trop grande :( j ai respecté la photo expliquant comment mesurer le doigt de mon homme et malgré tout ça ne correspond pas. Comment faire ?? Je viens de demander un retour pour la re commander plus petite</t>
  </si>
  <si>
    <t>Pull discret Prenez une taille en plus. Sinon la qualité n'est pas très bonne mais pour une soirée, il fait beaucoup d'effet !</t>
  </si>
  <si>
    <t>RAS Très bien</t>
  </si>
  <si>
    <t>Bien J'ai aimé</t>
  </si>
  <si>
    <t>Très doux Chic et sportif même avec un jupe crayon</t>
  </si>
  <si>
    <t>très jolies boucles pour l'été vont avec tout!</t>
  </si>
  <si>
    <t>Une jolie bouilloire fonctionnelle Il faut lire en premier le mode d'emploi. On y trouve les informations fondamentales. Si j'en parle c'est que j'ai lu d'autres commentaires qui manifestement avaient oublié les 2 pages en français du fascicule. Non, le fil n'est pas trop court, il faut le dérouler sous la base. Il ne faut pas laisser d'eau après l'utilisation. Il ne faut pas chauffer le contenu d'une tasse, mais la quantité minimum graduée (0.80l). Ne pas nettoyer votre bouilloire avec un tissus abrasif. Il y a un filtre anti-calcaire à nettoyer régulièrement après 10 ou 15 utilisations. Ce sont quelques petits détails pour obtenir le maximum de résultat de cette très magnifique bouilloire.</t>
  </si>
  <si>
    <t>Enfin un livre qui répond aux Pourquoi des enfants Petit encyclopédie qui pose les questions essentielles pour le petits</t>
  </si>
  <si>
    <t>Vendeur très fiable Câbles midi pour connecter un piano électrique à un ampli Reçus dans un délai rapide</t>
  </si>
  <si>
    <t>Bon petit support Bon petit support qui fait son petit effet sur mon bureau , au travail . ne prends pas de place et permet de poser son casque en toute tranquilité</t>
  </si>
  <si>
    <t>Très jolies Parfaites. Elles taillent très bien mon 37 en laissant passer une chaussette assez épaisse. En plus elles sont vraiment très très jolies. Semelle épaisse. Super rembourrées. Génial👍</t>
  </si>
  <si>
    <t>Bon rapport qualité et prix. Je viens tout récemment d'acquérir ces petits écouteurs bluetooth et je dois dire que j'en suis ravi ! Ils ont tout de certains écouteurs que l'on trouve à des tarifs parfois plus onéreux. Voici mon bilan après un court test: Avantages: - Tactile présent sur les écouteurs (d'autres ont des boutons désagréables) - Le son est très agréable, il manque un peu de basse selon moi (grand amateur des basses) - L'isolation est  bonne - Poids à la hauteur de ce qu'il se fait sur le marché - Bonne qualité audio lors des communications. - Niveau de batterie affiché par 3 leds  Inconvénient: - Pas d'application pour configurer au mieux ses écouteurs. - Couvercle du boitier un peu raide pour l'ouverture.  Pour en conclure c'est une très bonne paire d'écouteurs bluetooth qui ont le mérite de ne pas être cher et avec tout ça avoir un bon son et pratiquement toutes les qualités présente sur le marché, je recommande !!</t>
  </si>
  <si>
    <t>Micro sans fil bluetooth 4.1 Animation Club des ainés.</t>
  </si>
  <si>
    <t>parfait rien à redire, légère confortable, agréable à porter même toute la journée</t>
  </si>
  <si>
    <t>cordon vga moniteur1.8m bon produit je le recommande a ceux qu il doive changer ou acheté un nouveau cable vga</t>
  </si>
  <si>
    <t>Parfait merci J'adore dessiner et c'est exactement ce dont il me manquait j'ai eu peur qu il y ai des doublons dans les couleurs mais ce n'est pas le cas! Grand choix! Rien à dire commander sans hésiter...très bonne qualité le prix est plus que raisonnable</t>
  </si>
  <si>
    <t>Super produit J'avais acheté ce produit dans un supermarché la première fois, il a duré longtemps, dès que j'en avais plus je l'ai commandée sur Amazon. Ce gommage pour le corps est vraiment top ! Il sent bon, les grains sont d'une taille parfaite, il rend la peau lisse comme de la soie. Je recommande !</t>
  </si>
  <si>
    <t>Super Je les adore. Ils sont simples, La tétine je dérange pas mon petit qui est exclusivement allaité depuis la naissance (biberons utilisés pour que papa puisse donné le lait que je tire préalablement)  Prix raisonnable  Passe au lave vaisselle Mais mieux vaut les laver a la main quand même  Petit format pratique pour le début (125mL)  Attention juste a ne pas les laisser tomber, pas de surprise ils cassent en mille morceaux :/</t>
  </si>
  <si>
    <t>Bon produit Bon produit</t>
  </si>
  <si>
    <t>Trrès bonne Très confortable</t>
  </si>
  <si>
    <t>Tout simplement génial Cela faisait longtemps que je voulais acheter un diffuseur électrique mais je n'avais jamais vraiment recherché de modèle qui me plairait. Quand je suis tombée sur celui-ci, et en lisant les commentaires positifs, j'ai voulu le tester... hey bien je ne regrette pas une seule seconde mon achat ! D'ailleurs j'en recommanderai un autre prochainement pour l'offrir tellement il est génial. Très facile d'utilisation, il diffuse parfaitement les huiles que je mets dedans et il est très agréable à regarder étant donné les nombreuses couleurs qui défilent lors de la diffusion. Vraiment je recommande cet article à 100 %</t>
  </si>
  <si>
    <t>Très bien conçu Ces écouteurs sont merveilleux. Je peux l’utiliser quand il y a du bruit autour et que le bruit est faible. Le bas est très bon. La mise en charge de ces casques est rapide et il est possible de connaître l’état de charge de la base à l’aide d’un indicateur. Les boîtes de stockage compactées sont solides mais légères, ce qui facilite la charge simultanée des écouteurs. Ils ne se déplacent pas lorsqu’ils sont utilisés pour courir. Je recommande une qualité de son parfaite!</t>
  </si>
  <si>
    <t>Dommage, cassé ! Bonjour, j’ai reçu cassé malheureusement, dommage le coller avait l’air jolie... Alors je recommande le produit si vous n’avez pas peur de le recevoir en morceaux.</t>
  </si>
  <si>
    <t>D Le microphone ne fonctionne pas</t>
  </si>
  <si>
    <t>renapur Aucune action sur entretien canapé en cuir.</t>
  </si>
  <si>
    <t>Bien mais .... L’odeur me laisse perplexe ... mais très agréable et efficacité indéniable.</t>
  </si>
  <si>
    <t>super sympa Pull super sympa! mon ado de fille fan 'Harry est ravie :-) Par contre attention à la taille : très petit ! j'ai pris du M qui lui va parfaitement elle qui d'habitude met du 16 ans !</t>
  </si>
  <si>
    <t>PARFAIT Sac conforme à l'annonce</t>
  </si>
  <si>
    <t>Très pratique Rapport qualité prix irréprochable , exactement ce que je souhaitais . Je recommande.</t>
  </si>
  <si>
    <t>Ecouteurs qui semblent officiels, de bonne qualité Je ne sais pas si ces ecouteurs sont des vrais, en tout cas cela y ressemble fortement meme si le fil est rond alors que sur les écouteurs fournis avec le téléphone le fil était aplati.  Son de même qualité que les écouteurs d'origine. Je ne sais pas si ils dureront autant que les écouteurs d'origine, en tout cas ils sont agréables à utiliser.  Emballage sympa reçu avec un "merci" à l'intérieur</t>
  </si>
  <si>
    <t>Pas mal Housse qui conforme à la description, n'empêchera pas la casse en cas de grande chute mais protège quand même bien ...</t>
  </si>
  <si>
    <t>bonne paire d'écouteurs! très bon rapport qualité/prix. Pour le prix je ne m’attendait pas à un son aussi limpide. Bon équilibre, les basses ne satures pas quand on augmente le volume. Ce sont de tout petits écouteurs qui conviennent bien aux petites oreilles. Le bouton tactile de commande n’est pas trop sensible ce qui est appréciable quand on les met en place. l’appareillage est un jeu d’enfants! Et la boite charge sert aussi de batterie externe. C’est un produit complet!</t>
  </si>
  <si>
    <t>Étonnant. L'engin est vraiment efficace. Après son utilisation, non seulement le vinyle est nettoyé en profondeur mais le son semble prendre une ampleur inédite. Peut-être est-ce dû au liquide antistatique. En tous les cas, produit au rapport qualité prix au top.</t>
  </si>
  <si>
    <t>Nickel ! Conforme à mes aspirations. Pratique et solide.</t>
  </si>
  <si>
    <t>Ravie de cette achat Mon fils est ravi de cet achat. Assez grand pour mettre son porte feuille, son portable, ses écouteurs, un paquet de mouchoirs, une paire de clefs .... Costaud. Finition nickel. Comme d’habitude avec cette marque on n’est jamais déçue.</t>
  </si>
  <si>
    <t>Amusant la pointe du stylo qui disparaît petit à petit Jeu très sympa. Je conseille de laisser la minuterie sur 10 secondes. Sur 15, on a évidemment plus de temps mais cela supprime une partie du principe du jeu à savoir la continuité du dessin du dessinateur précédent.</t>
  </si>
  <si>
    <t>sweat-shirt de noël j'ai apprécié ces joli sweat-shirt de fêtes de noël et le produit correspond parfaitement au descriptif et la photo.</t>
  </si>
  <si>
    <t>bon rapport qualité prix top , quantité adéquate pour moi , me permet de faire des economies.</t>
  </si>
  <si>
    <t>A bien fonctionné Très bon produit. Les enfants l’adorent énormément.</t>
  </si>
  <si>
    <t>Très satisfait ! Colis reçu rapidement. Le packaging est sympa.Une protection d'écran est fourni ainsi qu'un câble de charge. La configuration est assez simple avec une appli à installer sur le smartphone. Composants de bonne qualité,look agréable. De nombreuses fonctionnalités utiles, on peut y insérer une carte sim. La montre se recharge assez rapidement , l'autonomie est satisfaisante. La qualité de l'écran est bonne et les couleurs sont agréable,je ne suis pas déçu...</t>
  </si>
  <si>
    <t>Réponse de vendeur Tout con comme il faut Est inscrire vendeur Très belles baskets</t>
  </si>
  <si>
    <t>Conforme à la description Trés confortable, je recommande!</t>
  </si>
  <si>
    <t>Franchement le top Relaxation assurée après une bonne journée en tant que paysagiste.</t>
  </si>
  <si>
    <t>Ces pochettes sont parfaites. De bonnes qualités, je m'en suis beaucoup servies. Elles ne gondolent pas et ont l'air de durer longtemps. Je les conseille vivement.</t>
  </si>
  <si>
    <t>Super Produit excellent génial top au micro onde</t>
  </si>
  <si>
    <t>parfait tres parfumé et tiens sur le linge au lavage</t>
  </si>
  <si>
    <t>Je n'ai pas eu l'occasion de la tester... Produit livré en temps et en heure, mais ne fonctionnait pas. L'appareil ne s'allumait pas lorsqu'il était branché. C'est dommage...</t>
  </si>
  <si>
    <t>Allez chercher MIDI à 14h : c'est pas le bon ! Ne marche pas chez moi (en particulier les notes ne sont pas à leur place dans Finale) : préférer les câbles M-Audio-Uno ou Prodipe qui sont plus chers ... mais fonctionnent. Bon je mets une étoile pour le prix et l'aspect robuste mais c'est bien parce qu'on ne peut mettre zéro. Le circuit électronique doit être mal conçu.</t>
  </si>
  <si>
    <t>très decue Impossible de régler l heure. Le bouton timer ne fonctionnant pas...c est pourtant la fonction première d une montre. Sinon design ok.</t>
  </si>
  <si>
    <t>Trop grosse Très grosse sur un poignet. Commandee pour mon frère (1'80m et 80kg), nous l'avons renvoyée car vraiment trop grosse</t>
  </si>
  <si>
    <t>Anti collique qui fonctionne ! Utiliser en cadeau pour ma nièce , ils sont très ergonomique.  Réglable en vitesse 1,2 et 3 pour du lait plus ou moins épais .   2 tout petits biberons de 150 ml pour la naissance ou ensuite pour un supplément d'eau - 2 biberons moyens de 270 ml pour les bébés plus gourmand . - 2 grands biberons pour les bebes une fois le cap des 12 mois  qui boivent des aliments plus épais.  Anti colique et ça fonctionne ! Mon bébé avait des colliques j'ai donc choisi ce lot et ça lui convient très bien .  Le seul point négatif et qu'il ne se démontent pas en 3 parties . Ce qui serait beaucoup plus pratique au lavage .</t>
  </si>
  <si>
    <t>Ça taille grand Parfait mais prendre une taille en dessous car ça taille grand</t>
  </si>
  <si>
    <t>✔✔ Boucle d'oreille correct,  dépanne bien,  rapport qualité prix nickel,  elle ne s'oxyde pas Elle valent le coup par contre faite attention s'y vous êtes allergique</t>
  </si>
  <si>
    <t>Pas très confortable à la longue Pas très confortable à la longue</t>
  </si>
  <si>
    <t>Très bien Acheté pour utiliser en VTT en cette saison d'automne, ce vêtement est très près du corps afin de garder bien au chaud. La qualité est bonne, à voir dans le temps. Pour le prix, il est difficile de s'en passer. Je recommande.</t>
  </si>
  <si>
    <t>Parfait Besoin d'ajouter des ventilation en plus sur votre ordinateur.  Pas de soucis avec se connecteur qui se connecte facile .</t>
  </si>
  <si>
    <t>satisfait &lt;div id="video-block-R3E92KVS5H09VM" class="a-section a-spacing-small a-spacing-top-mini video-block"&gt;&lt;/div&gt;&lt;input type="hidden" name="" value="https://images-eu.ssl-images-amazon.com/images/I/91YukY21CES.mp4" class="video-url"&gt;&lt;input type="hidden" name="" value="https://images-eu.ssl-images-amazon.com/images/I/91JdxB14XfS.png" class="video-slate-img-url"&gt;&amp;nbsp;Livraison tres vite. Tres facile a utiliser, micro enceinte avec un son de bonne qualite, c'est lumineux, se connecte automatiquement tres vite sur mon portable via le Bluetooth. Le produit correspond bien à mes attentes.</t>
  </si>
  <si>
    <t>Solidité Solide, bonne contenance, fermeture éclair de bonne facture bref tout ce dont j'avais besoin.</t>
  </si>
  <si>
    <t>Bon design et livraison rapide C'est globalement bon. La livraison est très rapide et le produit est au-delà de mes attentes.</t>
  </si>
  <si>
    <t>Très beau produit Très contente de ce produit - conforme à la description - belle qualité - j'en commanderai bien un 2e - belle idée de cadeau</t>
  </si>
  <si>
    <t>super TOUT EST TRES BIEN ET JE NE VOIS PAS CE QUE JE POURRAIS AJOUTER CAR CELA CORRESPOND TOUT A FAIT A CE QUE J'ATTENDAIS ET EN TOUT POINT</t>
  </si>
  <si>
    <t>Système anti-colique élaboré Coffret de quatre biberons en plastique avec tétine faible débit (1): deux de 150 ml et deux de 260 ml plus deux tétines débit moyens (2) en réserve, un goupillon démontable et une tétine sucette. Grande nouveauté, ce système anti coliques constitué d’un tube d’aération avec détecteur de chaleur incorporé dans le biberon. La bande de détection de chaleur passe du bleu au rose à 41°C. Il est indispensable de laver le biberon tout de suite après emploi pour éviter que le lait ne sèche et ne colle. Un petit goupillon est également fourni afin de nettoyer l’intérieur de ce petit tube d’aération. Comme d’habitude, tous les composants doivent être stérilisés après chaque utilisation.  Tous les moyens de stérilisation peuvent être utilisés. Un véritable point noir, la taille des caractères du mode d’emploi ! Il faut avoir une bonne vue sinon prévoir une loupe ! En dehors de ça, très bon produit.</t>
  </si>
  <si>
    <t>Bien reçu Content de l'achat</t>
  </si>
  <si>
    <t>sublime Elles sont confortable et magnifique!</t>
  </si>
  <si>
    <t>montre absolument parfaite fonctionne parfaitement bien , mouvement tres perfermormant, tres bonne qualite, montre solide esthétique parfait. bref j'en suis ravi ! je recommande vivement</t>
  </si>
  <si>
    <t>Bien Correspond à ce que l on voulait. Taille adaptée</t>
  </si>
  <si>
    <t>Sympa Sympa et simple</t>
  </si>
  <si>
    <t>Top Au top niveau qualité pour une poubelle 40L mais cela reste un peu cher mais ce n'est que mon avis :)</t>
  </si>
  <si>
    <t>Article de qualité Obligée à porter des chaussettes de contention après une fracture et arrachement de la malléole, ces chaussettes sont discrètes mais TRES efficaces Couleur sympa et actuelle, personne ne peut se douter que ce sont des bas de maintien Je recommande ce produit au prix tout doux pour une efficacité au top</t>
  </si>
  <si>
    <t>Déçu Très jolie très très petites boucles, mais après 2 jours d’utilisation l’argent Disparaît. c’est vraiment très décevant</t>
  </si>
  <si>
    <t>Pas encore rupture de pointure J’attends ce modèle en ma pointure prochainement</t>
  </si>
  <si>
    <t>Belle montre mais fragile La montre en soit est jolie, fait illusion avec ses faux boutons, mais il y a un mais. Le brasselet est fragile ainsi que le fermoire et le tout de piètre qualité, lors du retrait d'un maillon, au remontage, le maillon c'est tordu comme du beurre lors de la remise du tenon, et des rayures sont visibles sur le brasselet. La montre ne tient pas la nuit à l'heure, elle s'arrête du fait de ne plus être au poignet. Dommage, à peu de chose près il aurait pu y avoir 4 voir même 5 étoiles.</t>
  </si>
  <si>
    <t>Bon produit mais attention a la taille, uni pour petits chiens Produit pas mal mais petit</t>
  </si>
  <si>
    <t>Très pratique, mais... C'est ma deuxième. J'avais l'ancien modèle que j'ai utilisé avec bonheur jusqu'à un accident de détartrage qui a eu comme conséquence un fonctionnement erratique : 80 ou 100 uniquement, et il fallait que je la tourne sur son socle pour arriver à trouver un contact, et parfois refus total. J'ai une eau très calcaire, et pour la préserver j'enlevais l'eau restante immédiatement, et je la détartrais au vinaigre blanc en faisant bouillir, ce qui a fait déborder. J'ai compris mes erreurs en lisant les nombreux commentaires des utilisateurs. Celle-ci ressemble beaucoup à la précédente. Après quelques semaines d'utilisation elle est devenue bruyante à cause du calcaire, mais j'attends une baisse de température avant de la vider. Les bips sont très présents, mais j'étais habituée. Par contre, la grande différence, c'est qu'elle ne s'arrête plus automatiquement ! Je dois la laisser à coté du socle. Tout le monde n'a pas une prise facile d'accès ou à interrupteur. Déçue de ce downgrade.</t>
  </si>
  <si>
    <t>Très bon un fois pris en main Après un mois d utilisation, l autonomie des écouteurs seul est parfait pour les transports et autres. La boite qui les recharges  permet de s en servir toute au long de la journée. L ergonomie logiciel est un peu compliqué a prendre en main au début et l utilisation a un seul ecouteur se montre un peu capricieuse par moment. Sortie de ca ils font très bien le job avec un rapport qualité/ prix génial. Il manque un app pour affiner les reglages ou voir le niveau de batterie restant</t>
  </si>
  <si>
    <t>joli mais fragile Une bonne petite montre, avec un look bien retro et des fonctions sympa! Attention toutefois à la vitre, elle se raye assez facilement, vu le prix il ne faut pas être trop exigeant.  Étanchéité ok, testé en piscine! Normalement les 100m indiqués devraient permettre de petites plongées en apnée. Elle va m'accompagner pour un voyage de 3 semaines, on verra bien ce qu'elle dira.</t>
  </si>
  <si>
    <t>Mieux que l'original Remplace très bien les anciens écouteurs. Packaging soigné. À bout avec le temps.</t>
  </si>
  <si>
    <t>idée originale pour un cadeau sentimental j ai acheté cette boite pour faire une surprise a ma maman pour Noël. il y a plein de morceau à assembler et à confectionner avec les accessoires fournis+d autres personnels à rajouter. j ai regardé un tuto pour voir comment faire et avoir des idées. l idée étant de mettre pleins de photos souvenirs et au milieu une surprise (bijoux dans mon cas). reste plus qu a attaquer.les photos sont prêtes. j en suis contente</t>
  </si>
  <si>
    <t>je recommande Satisfait du produit bon rapport qualité-prix</t>
  </si>
  <si>
    <t>Bien La qualité et bonne comme toute la série de cette marque.</t>
  </si>
  <si>
    <t>Oreillette sans fil pour faire du sport Reçu dans un petit carton, le package comprend :  - 1 housse ronde et rigide de transport avec à l'intérieur : Les écouteurs Les autres tailles d'embout auriculaire - 1 cordon Micro-USB &amp;gt; USB - 1 cordon supplémentaire (vert et fil plat) Micro-USB/Lightning &amp;gt; USB  Les oreillettes sont très légère et l'accroche-oreille est très souple et en silicone ce qui les rend très facile à mettre en place. Il suffit de les allumer via le bouton prévu à cet effet sur l'oreillette droite (logo rouge), pour info, au premier lancement, la détection Buetooth se fait automatiquement. Il suffit de l'ajouter sur votre périphérique via vos options Bluetooth (nom : MUGO). Sinon il suffit de laisser appuyer sur le bouton d'allumage pour déclencher la demande d'apparaige (clignotement diode rouge/bleu). Il y a également sur le dessus deux petits boutons de volume +/- qui servent également de "chanson précédente/chanson suivante". Également, un appuie sur les deux boutons en simultané déclenche Siri sur votre périphérique Apple, il ne vous reste plus qu'a lui parler car l'oreillette fait également kit main libre !  La qualité est vraiment très bonne pour de la musique ou des vidéos. L'isolation est très bonne une fois qu'on les a sur les oreilles ! Grâce à la norme IPX7, vous pouvez les utiliser sous la pluie ou en pleine séance de transpiration, l'eau ne pénètre pas à l'intérieur grâce à un système de nano revêtement.  En résumé, la légèreté, le fil qui permet de ne pas les perdre (pratique en cas de sport) et surtout la surprenante qualité... Je suis très content de mon achat !</t>
  </si>
  <si>
    <t>Génial! C'est la 4eme paire que je commande pour ma mère qui est âgée et pour une de ses copines. Elles trouvent ces chaussures tellement confortables qu'elle ne les quittent plus tout au long de l'année. Ces chaussures sont ultra résistantes et on fait leurs preuves aussi bien en intérieur que dans le jardin. Il est néanmoins préférable de mettre une petite semelle en gel pour avoir un meilleur confort. Je recommande sans hésitation !</t>
  </si>
  <si>
    <t>Bel article Très jolie robe que l'on peut porter sans bijou étant donné le travail du bustier parfaitement ajusté et agrémenté de boutons et d'applications blanches. Couture et coupe soignées. Je recommande ce produit.</t>
  </si>
  <si>
    <t>Parfait La dilution des peintures est impeccable. En même temps s'agissant de la même marque, je n'avais pas trop de doutes...</t>
  </si>
  <si>
    <t>Écouteur Bluetooth Le petit coffret comprend: - le micro câble USB - le petit boîtier de rangement et chargement - 3 petits embouts en silicone - la paire d'écouteur Bluetooth - la notice  Pour l'utilisation c'est un jeu d'enfant, sortez les écouteurs de sa boîte puis activer le Bluetooth sur votre téléphone (le mien est un Asus zenfone) et vous pouvez déjà commencer à l'utiliser.  J'utilise depuis toujours les gros casques car au moins ils ne tombent pas des oreilles et même si le câble s'accroche, le casque reste sur la tête. C' est la première fois pour moi que j'essaye ce genre d'écouteur et je suis totalement conquise! Ils tiennent bien aux oreilles, beaucoup plus pratique à transporter que mon gros casque. Le son pour ma part est vraiment top. Pour la nuisance sonore, les personnes autour de moi n'entendent rien.  Franchement j' adhère complètement à ces écouteurs</t>
  </si>
  <si>
    <t>Pas déçue !!! Très bon produit ,  confortable et de bonne qualité , ne bouge pas au lavage , je le recommande sans problème</t>
  </si>
  <si>
    <t>Très agréable J'utilise ces asics pour mes séances de crossfit. Premières running que j'achète chez asics : elles font parfaitement l'affaire. L'amorti est très bon et elles sont légères. Attention à prendre une demi voire une taille au-dessus de celle qu'on porte habituellement. Je recommande.</t>
  </si>
  <si>
    <t>ROULEAUX ADHESIFS SCOTCH TRES INTERESSA NT PIYR USAGE PAPETERIE BUREAU Prix très intéressant pour  le nombre de rouleaux bien utile quand on utilise  bcp comme moi la qualité du ruban adhésif est bonne et convient parfaitement à l'usage que j'en fais donc achat à la fois utile et concluant  pour :moi j'en recommanderai dès que le stock ira vers sa fin.</t>
  </si>
  <si>
    <t>Nickel Super</t>
  </si>
  <si>
    <t>Produit du quotidien Comme d'habitude il est parfait.</t>
  </si>
  <si>
    <t>Trop bon .... Achetée et offerte à ma maman et de suite adopté !! Elle en est ravie , elle lui tient chaud elle qui est très frileuse , je suis certaine qu'elle passera un hiver au chaud sur sont fauteuil ou dans son lit ! Elle est confortable , douce  bref au top !!! et une 2ème achetée pour moi  :D</t>
  </si>
  <si>
    <t>Bien Tres facile à lire</t>
  </si>
  <si>
    <t>Déçu La pointure c'est bon mais qualité très mauvaise, elle se sont décollé en moins de 2 mois. Je recommande absolument pas.</t>
  </si>
  <si>
    <t>Nul Très déçu ! Trop fin , pas agréable sur la peau, mauvaise qualité ! Trop chère pour ce produit je ne le conseille pas .</t>
  </si>
  <si>
    <t>Trés déçu !!!! cette montre n'est pas belle boitier en plastique recouvert de peinture grise vraiment pas beau cela fais vraiment très bas de game je regrette mon achat et ne porterais pas cette montre , car dans le commentaire il n'est pas precise que le boitier est en plastique et non en metal comme l'originale</t>
  </si>
  <si>
    <t>Très Agréable Produit très agréable et très symple d'utilisation. Article acheté car chambre humide et diffcile à chauffer. Donc un lit gelé en hiver, pas cool ... J'ai donc acheté ce chauffe matelas pour palier à ce souci. Je le met à puissance maximum le temps d'un passage à la salle de bain et à mon arrivé dans le lit celui si est tout chaud. 4 niveau de puissance, le 4 chauffe fort !! Perso je l'éteind dès mon arrivé au lit comme ça pas de risque de l'oublier.  Je recommande cette article en espérantqu'il dure dans le temps ....</t>
  </si>
  <si>
    <t>Très bon rapport qualité prix Beau produit bien fini belle qualité.</t>
  </si>
  <si>
    <t>TOP Contente de ses baskettes, extra souples type chaussons et solides. Bonne couleur et adaptées a la pointure comme prévu. Je fais un 40 et c'est nikel. je recommande a celles qui ont des pieds sensibles.</t>
  </si>
  <si>
    <t>En ligne avec les attentes Ces tétines sont de bonne qualité, faciles à nettoyer. En ligne avec nos attentes.</t>
  </si>
  <si>
    <t>bottes de qualité très belles bottes, souples et légères, excellente semelle et largeur de mollet très confortable. J'aime cet article Livraison rapide toujours conforme à la commande</t>
  </si>
  <si>
    <t>Nickel J adore ♥ ♥ mais J ai eu peur qd J ai vu que le colis avait été ouvert sur le côté ainsi que la boîte des chaussures.... Heureusement pour moi ,  ce modèle n'a pas du plaire !!!</t>
  </si>
  <si>
    <t>Parfait Livraison hyper rapide et Blu-ray de qualité Disney.. manque juste la version longue comme sur le DVD</t>
  </si>
  <si>
    <t>Parfait à l’usage Pratique à l’usage. Facile à transporter. Bien hermétique à la fermeture. Facile à laver.</t>
  </si>
  <si>
    <t>Contente de mon achat ! Contente de mon achat ! Tres joli, pratique, facile à nettoyer, ne prend pas beaucoup de place.</t>
  </si>
  <si>
    <t>Très Bon rapport prix bonjour la taille correspond bien je fais du 44 et j ai commandé 44 et de très bonne facture tienne bien au pied et très confortable. ideal pour faire des km de marche</t>
  </si>
  <si>
    <t>très bon rapport qualité prix acheté pour ma mère elle était ravi belle boite de rangement produit de bonne qualité Livraison très rapide</t>
  </si>
  <si>
    <t>Cristaux de soude Un produit merveilleux, on peut faire tellement de chose avec le nettoyage la lessive du blanc, ect.. je suis contente de mon achat.</t>
  </si>
  <si>
    <t>Super pratique , super son , super discret Sitôt essayés , sitôt adoptés !!!! J’avais déjà essayé des équivalents EarPods mais je ne les trouvais pas confortables ( gêne dans l’oreille) et pas discrets ( couleur blanche), donc j’avais abandonné (. Quand j’ai vu ces écouteurs Bluetooth, ils m’ont paru plus discrets et j’ai souhaité les commander . J’ai été bluffée en les essayant : s’adaptent parfaitement au creux de l 'oreille , la qualité du son est parfaite , aucun grésillement , son très clair , et en plus ils sont hyper discrets! Étant brune ils passent inaperçu sous mes cheveux!!! Je suis ravie !!! Je les ai tout de suite adoptés . Parfaits pour écouter de la musique , ou la radio sur mon téléphone , ou pour écouter le son des films sur iPad . Je vais les emmener partout pour pouvoir m’occuper sans gêner personne pendant les longues heures d’attentes quand mes enfants font leurs activités extra scolaires. Je vais commander des paires supplémentaires pour mes enfants</t>
  </si>
  <si>
    <t>Conforme à la photo Parfait</t>
  </si>
  <si>
    <t>Parfait Superbes et semblent bien solides, elles sont de bonne qualité :) Je les porte même parfois la nuit et sous la douche, elles ne bougent pas. Je suis ravie</t>
  </si>
  <si>
    <t>Bien adapté RAS</t>
  </si>
  <si>
    <t>Solide et fiable Rando plongée... P A R F A I T E</t>
  </si>
  <si>
    <t>adaptées, resistantes et esthétiques Produit bien adapté, bonne résistance! Très esthétique! Je recommande!</t>
  </si>
  <si>
    <t>Je l'adore massage chauffant ou pas Je l'adore parfait pour détendre la nuque le dos, les lombaires. Je l’utilise tous les jours. Parfait pour se détendre et dénouer les noeuds</t>
  </si>
  <si>
    <t>J adore J acheté ces biberon depuis plus de 5 ans , c est une marque que j affectionne beaucoup . Ma puce de 1 an et toujours allaité mais commence à prendre le biberon et c est tout naturellement que j ai pris ceux là comme pour ces grand sœurs et freres</t>
  </si>
  <si>
    <t>Peluche après une journée ... La qualité est vraiment médiocre. En fin de journée, on a déjà de nombreuses peluches sous les pieds. Je doute que ce soit bien fait pour une activité journalière pour les actifs. Ne valent pas des chaussettes de randonnée de la marque qui commence par «&amp;nbsp;Déca&amp;nbsp;» et se termine par «&amp;nbsp;thlon&amp;nbsp;».</t>
  </si>
  <si>
    <t>Arnaque Rien à voir avé vous la photo et la description du produit ... une vulgaire fringue made un china de très mauvaise qualité et qui taille trop petit en plus une véritable arnaque n achetez pas ça!!!</t>
  </si>
  <si>
    <t>Une bonne réserve d'enveloppes L'emballage était correct. Le carton est commode pour les conserver et les ranger. Le papier est un peu léger mais suffisant pour les utilisations courantes. Le collage de la fermeture se fait bien. Bon rapport qualité prix.</t>
  </si>
  <si>
    <t>Trop petit Acheté pour une utilisation quotidienne, en fait je les porte peu car elles sont trop petites et me font mal aux pieds, j’ai pris le 40 ce qui est normalement ma taille. Sinon elles sont légères et agréables à porter</t>
  </si>
  <si>
    <t>Bons feutres maisgamme de couleurs incomplète Ce sot de bons feutres à pointe moyenne, mais les couleurs fluo remplacent les couleurs normales équivalentes, qui n'y sont pas: il n'y a pas de jaune, ni de rose, ni de vert clair autre que fluo. Du coup, il faut acheter une autre pochette pour compléter. Franchement dommage pour une pochette de 24 feutres!</t>
  </si>
  <si>
    <t>tresbien tres bien</t>
  </si>
  <si>
    <t>Presque parfaite. Cadeau pour ma mère qui a adoré. Mais je trouve que le bracelet est un peu juste pour son poignet, poignet qu'elle a de fin par ailleurs d'où 4 étoiles. Sinon qualité Casio au rdv.</t>
  </si>
  <si>
    <t>Super Conforme à mes’ attentes mais j ai pris du 40 pensant que ça allait aller avec mes’ semelles dommage du coup elle sont un peu grandes j’en chausse d’un 39</t>
  </si>
  <si>
    <t>Rapport qualité prix Sous la douche  gommage rapide Hydratant</t>
  </si>
  <si>
    <t>Confrome a la description Mon casque commençant à se faire vieux et n’ayant pas de micro dédié j’ai voulu investir dans un casque gaming afin de pouvoir à la fois communiquer avec mes amis, mais également entendre les bruits de pas de rainbow 6. Je suis tout à fait satisfait de la qualité sonore, mon ancien casque étant un de grande marque je n’ai pas constaté de baisse de qualité sonore en jeu, ce qui était ma seule inquiétude. Le réglage du son est souple et pratique.  L’effet coupe son est une réussite, ce qui permet une grande immersion et une meilleure concentration. Je recommande ce casque, j’espère qu’il va durer dans le temps&amp;nbsp;!</t>
  </si>
  <si>
    <t>très bien très bon produit et de qualité</t>
  </si>
  <si>
    <t>Au top Super produit Taille nickel et très agréable à porter pour le running Très satisfaite de mon achat</t>
  </si>
  <si>
    <t>Basket Reebok au top Basket superbe mon fils est ravi</t>
  </si>
  <si>
    <t>Livré rapidement Normal</t>
  </si>
  <si>
    <t>Sympa Trop contente de mon achat ..offert à noël et la personne à trouver trop cool et surtout pratique.. Je recommande pour un cadeau fun</t>
  </si>
  <si>
    <t>Bon rapport qualité/prix Ce casque est vraiment bon, les styles de couleurs sont très bons, j'ai vu beaucoup de comparaisons sur Internet, et finalement choisi votre magasin, après l'arrivée des produits, je suis complètement satisfait! Livrés dans une petite pochette, avec plusieurs embouts caoutchouc de différentes tailles. Le câble est long et souple, l’ensemble est bien fini. Je l'aime vraiment beaucoup.</t>
  </si>
  <si>
    <t>Très bon pour la go pro hero 5 Très léger bon rapport qualité prix. Je m'en sers avec ma go pro hero 5 et le rendu est fantastique tant qu il n'y a pas trop de vent.</t>
  </si>
  <si>
    <t>Basket Air running Livraison dans les temps. Les baskets sont confortables et la taille correspond. Le Cloud des baskets absorbe bien les à-coup lors que la marche/course. Les baskets sont assez légère. Bon maintien du pied.</t>
  </si>
  <si>
    <t>Parfait parfait Trop Trop trop bien !! Magnifiques!</t>
  </si>
  <si>
    <t>Super produit Super produit</t>
  </si>
  <si>
    <t>Génial Super collection. Ma fille adore</t>
  </si>
  <si>
    <t>Génial pour les sportifs Je suis absolument ravie de ces écouteurs de sport. Je les ai testé avant de les offrir à ma sœur qui est une grande sportive et je peux vous dire que le son est génial ! En plus de ça le produit est arrivé très bien emballé ! Et le design du produit épousé parfaitement ma forme de l'oreille ce qui permet de ne pas les faire tomber lors des activités sportive !</t>
  </si>
  <si>
    <t>Cadeau très apprécié Ma nièce lit ce livre tous les soirs. Elle adore ! Elle était très contente quand je lui ai offert un deuxième.</t>
  </si>
  <si>
    <t>Super qualité Pull reçu en temps et en heure et tres bonne qualité il et assez lourd donc tiens bien chaud.</t>
  </si>
  <si>
    <t>Attention casque très fragile de médiocre qualité Bonjour je vous déconseille d'acheter se casque il a l'air solide et pourtant l'articulation de mon oreillette droite c'est cassé sans savoir pourquoi alors que j'en prends le plus grand soin. Je connais pas tous en se qui est matière de son mais je peux vous dire que la réduction de bruit n'est pas extraordinaire du tout  je tiens à vous préciser que la réduction active envoye des fréquences pour s'opposer aux parasites on entend un petit bruit aiguë ça ne me gène pas mais ce bruit fait mal aux oreilles la qualité du son n'est pas extraordinaire comparer aux écouteurs basique. Franchement un conseil garder votre argent et acheté vous des écouteurs ou si vous avez un plus gros budget d'investir dans un vrai casque car celui est vraiment de médiocre qualité au début j'étais trop content c'était nouveau pour moi mais après 1 semaine d'essai on découvre les défauts du casque et maintenant ça fait à peine 2 mois que je l'es et j'envisage déjà d'acheter des écouteurs à cause de ce casque.    Vraiment je vous déconseille de l'acheter en plus je peux même pas me faire rembourser .</t>
  </si>
  <si>
    <t>Trop étroit Trop étroit</t>
  </si>
  <si>
    <t>plastique fausse basket fila. 100% plastique. vendu au prix des vrais</t>
  </si>
  <si>
    <t>Ne pas acheté Incompréhensible je commande une taille s je reçois un xl qui est beaucoup trop petit je le déconseillé</t>
  </si>
  <si>
    <t>Trop bruyante Joli design l'eau chauffe vite et l'utilisation est facile. Par contre elle est vraiment très bruyante.</t>
  </si>
  <si>
    <t>Idéal pour un pied de femme Ce modèle est réputé pour être parfaitement adapté à un pied de femme (qui n'est pas un pied d'homme en plus petit !). Un bémol toutefois : si cette chaussure est d'un confort impeccable pour la marche, elle n'est pas recommandée pour les randonnées risquées : la semelle n'accroche pas suffisamment sur les surfaces glissantes.</t>
  </si>
  <si>
    <t>Des crocs, on aime ou on aime pas J'ai commandé les crocs pour utiliser au bloc opératoire, quel plaisir! Ils sont plutôt bien adapté même si a posteriori je regrette de ne pas en avoir acheté avec l'avant totalement fermé. A l'inverse d'autres commentaires que j'ai pu lire, les miens sont bien fait en Italie, preuve que ce ne sont pas des contrefaçons? Confortable, le plastique est plutôt mou ce qui est agréable.</t>
  </si>
  <si>
    <t>Je recommande Super, je l'adore, un petit peu plus grand mais je préfère quand c'est comme ça, je recommande !</t>
  </si>
  <si>
    <t>Bonne perche &lt;a data-hook="product-link-linked" class="a-link-normal" href="/Foxnovo-Radiodiffusion-durable-Studio-Microphone-Mic-Suspension-ciseaux-bras-perche-noir/dp/B00MQRHN5U/ref=cm_cr_arp_d_rvw_txt?ie=UTF8"&gt;Foxnovo Radiodiffusion durable Studio Microphone Mic Suspension ciseaux bras perche (noir)&lt;/a&gt;  J'y est installer mon micro bird UM1 elle est donc compatible avec le micro.  La fixation sur le bureau à une petite mousse pour éviter lorsque l'on sert trop la base d'abîmer le bureau.  La perche fonctionne bien prend la position souhaiter sans problème. Faudra juste faire attention au poid du micro qui pourrais abaisser votre perche pendant les enregistrement ou autres...  La qualité du matériel est impeccable je trouve pour ma part.  Un bon 4/5 pour cet perche , j’enlève une étoile pour la manivelle au bout de la perche pour la fixation micro qui même tourner à fond continuera de tourner sans cesse comme si elle n'était pas fixer correctement.</t>
  </si>
  <si>
    <t>étoilessandales NIKE Belle claquette et confortable mon fils est satisfait</t>
  </si>
  <si>
    <t>Rien C'est facile à utiliser léger pour le porter dans la voiture à la maison de partout</t>
  </si>
  <si>
    <t>Correct Conforme à la description</t>
  </si>
  <si>
    <t>Belle objet Pour un cadeaux</t>
  </si>
  <si>
    <t>1 Pour pratiquer du basket-ball</t>
  </si>
  <si>
    <t>Super sweat ! sweat tout à fait conforme à la photo, il a l'air d'une bonne qualité, il tient chaud et il est doux. Je recommande !!</t>
  </si>
  <si>
    <t>👍👍👍 Très bien</t>
  </si>
  <si>
    <t>bon rapport qualité-prix très joli casque que j'ai offert à ma femme depuis elle le quitte plus le son est de très bonne qualité il se plie pour pouvoir le ranger n'importe où et tu prends tout vraiment très peu de place d'ailleurs l'emballage est vraiment très petit la livraison a été effectuée en temps et en heure vraiment un très beau produit pour le prix</t>
  </si>
  <si>
    <t>Parfait Très jolie couleur. Sac très pratique par ses multiples poches.</t>
  </si>
  <si>
    <t>Très bien Très bien</t>
  </si>
  <si>
    <t>Moins il est cher, meilleur il est J'ai reçu ce casque récemment et suis conquis par son rendu sonore. J'avais dans mes placards un vieux DT440 avec un spectre plutôt étroit. J'ai commandé ce casque après avoir essayé longuement un HD650 et un K701... avec des courbes de réponse "à la C..". Pouquoi dépenser autant pour de mauvais résultats. Le DT990 possède une sonorité chaude, un peu trop de graves à mon gout, mais qui ne cassent pas la spatialisation. Pas de trous dans la bande passante et accepte donc en conséquence tout type de musique. Il est possible d'amortir l'excès de graves en masquant les évents de bass-reflex: vous insérez des portions d'élastique (28mm, blanc de préférence) dans 2, 3 ou 4 fentes centrales de chaque écouteur. Mais je compare toujours avec mon meilleur casque pour moi, le Philips SBC-HD1500 , plus fabriqué depuis de nombreuses années.</t>
  </si>
  <si>
    <t>chaussettes agréables Bonjour, je craignais que ce type de chaussette fasse de "faux plis" et blesse le pied, il n'en est rien.Donc c'est super.Il n'y a pas non plus  de problème de "surchauffe" au niveau des chaussettes.</t>
  </si>
  <si>
    <t>Très bien Belle qualité de papier. Convient pour tous supports</t>
  </si>
  <si>
    <t>Magnifique J'ai offert cette montre à mon mari pour nos 1 an de mariage. Il en est ravi et ne cesse d'en parler.  Il adore le fait qu'il n'y ai pas de boutons inutiles. Que l'heure est facile à lire. Le fait qu'elle sente le cuir. Et par dessous tout le style de cette montre.  J'ai vraiment fait un homme heureux avec cette montre. Je vous la recommande activement.  De plus, elle est moins chère sur Amazon que sur le site de la marque. Il faut en profiter :D</t>
  </si>
  <si>
    <t>Bluetooth  pas pour Samsung J5 Ne fonctionne pas en Bluetooth ( n'est pas reconnu )  sur mon samsung j5 mais fonctionne sur le J4 qui pourtant est plus ancien . Je l'utilise avec la prise jack  mais ça  enlève  une grande  partie de son intérêt. Si non la qualité  sonore  est correct  . Toutefois  au bout de 30 mn il finit pas serrer un peu. Le sac est pratique  .</t>
  </si>
  <si>
    <t>très décue de cet achat J'adore les sabots avec semelle bois mais ceux ci sont très inconfortables, et mal fabriqués!! J'ai pris un 37 rouge, rien à dire sur la couleur mais sont un peu grand et pas du tout confortables. pas d'ergonomie au niveau de la semelle bois et cuis n'allant pas jusqu'a l'arrière du sabot. Bref à déconseiller</t>
  </si>
  <si>
    <t>Montre fragile, anneau se decolle. Utilisation pour la vie quotidienne, plus les sports  (trail, surf etc..) Belle monture, cependant l'anneau du dessus c'est décollé après 30m de natation !! Un peu déçu !</t>
  </si>
  <si>
    <t>Manque les vis,  dommage Remplacement</t>
  </si>
  <si>
    <t>la tenue aux pieds au départ bonne sensation de confort , doux et moelleux , après quelques jours d'utilisation je trouve qu'il y a un manque de stabilité latérale et un manque d'amortissement la semelle n'est pas assez épaisse ce qui pourrait expliquer ce petit défaut , je fais 79 kg et mon poids à peut être tendance à écraser le revêtement intérieur , si ce problème était corriger je donnerais 5 étoiles</t>
  </si>
  <si>
    <t>Ni Ni</t>
  </si>
  <si>
    <t>palladium correspondent exactement à la photo, belle couleur, dommage elles taillent petit. A prendre plutôt avec une taille au dessus même si elles s’agrandissent un peu avec le temps. beau look.</t>
  </si>
  <si>
    <t>connais déjà Je connais déjà cet article, j'en porte souvent et suis très satisfaite de cette marque ainsi que de la qualité.</t>
  </si>
  <si>
    <t>Sueprbe ! Ras rien à dire ..</t>
  </si>
  <si>
    <t>Je recommande Qualité au rendez vous</t>
  </si>
  <si>
    <t>Très belle parure Magnifique ensemble qui a fait sensation en tant que cadeau de noël. Les couleurs sont très belles et l'ensemble est physiquement conforme à la photo.</t>
  </si>
  <si>
    <t>Diffuseur, possibilité connecter Alexa ou Google. Je l'attendais avec impatience, pour profiter des bienfaits des huiles essentielles. Super pratique avec Alexa, simple d'utilisation avec le programme conseillé, pour la nuit on peut programmer 1,3,6 heures, super bien !! Je recommande. 👍</t>
  </si>
  <si>
    <t>Très bien Très bien, pensez à acheter des tétines supplémentaires</t>
  </si>
  <si>
    <t>Produit solide Pratique pour enfants comme adultes</t>
  </si>
  <si>
    <t>Excellent produit Superbes vraiment pratique et adorable .. j'ai essayé des goupillons de marque mais lui c'est le meilleur tête rotative le prix .. super merci.</t>
  </si>
  <si>
    <t>Satisfaire mon cœur Les années de lecture vont de 4 à 5 heures par nuit. l’éclairage est peu probable: une lampe à LED voit bien, une lampe de lit blanchit l’ampoule … Et jamais, malgré tous Mes Tests, je n’ai trouvé un bon éclairage qui soit parfait, réglable en intensité (blanche ou jaune). En achetant, je n’espérais pas autant. La possibilité de régler l’intensité de la lumière au toucher et de régler la luminance «chaude» (jaune clair et blanc) en orientant la barre dans toutes les directions; Éclairage suffisant pour permettre la réalisation des différentes tâches prévues par le feu de lit ou le bureau … Enfin, une lumière franche et élégante. Il n’y a que le bonheur.</t>
  </si>
  <si>
    <t>Génial Produit extra je le conseille à 100%</t>
  </si>
  <si>
    <t>Bon rapport qualite prix Jai pris une demi pointure au dessus typique de la marque et pointure parfaite. Couleur identique a la photo lors de l achat</t>
  </si>
  <si>
    <t>Gommettes enfants Super produit pour développer la créativité de nos enfants mes filles sont ravis les gommettes sont de très bonne qualité facile à décoller et à manipuler pour les petites mains il y a vraiment une très grande quantité et variété vraiment pas cher pour ce que c'est</t>
  </si>
  <si>
    <t>Super chaussures. Belles et confortables. Super jolies et tres confortables. Je recommande. Je suis ravie.</t>
  </si>
  <si>
    <t>Conforme à la description Conforme a ma description, les pantoufles sont douces et fines. Elles ont l air assez robustes  pour une utilisation occasionnelle à savoir quand il y a des invités.</t>
  </si>
  <si>
    <t>parfait ça tient le coup dans l'immédiat bon rapport qualité prix</t>
  </si>
  <si>
    <t>Très bonne montre Très bonne  montre G shock.  Aiguilles et affichage digital.  Fonction Podometre, Bluetooth,  fonctionne avec l'application g shock connect pour le suivi des activités et le réglage automatique de l'heure ou bien du world timer... Gros plus : aiguilles phosphorescentes visibles dans le noir et éclairage de l'écran digital ce qui permet de bien voir l'heure dans le noir contrairement à d'autres modèles de la marque</t>
  </si>
  <si>
    <t>Jeu qui ne fonctionne pas ! Boite immense pour un jeu tout rikiki : contient 1 stylo , un mini bloc-notes et une règle du jeu dans une boite de 30X30 cm !!!!! Le stylo a fonctionné environ 5 minutes et plus rien . Grosse déception au final</t>
  </si>
  <si>
    <t>De l'uile J'achète  souvent la menthe  poivrée  et ma derniere commande  c'etait juste de l'huile !!! Peu etre quelques gouttes de menthe? Je suis tres déçu  surtout quand on sait pas ce qui a dedans , fini je ne prend plus a ce vendeur !</t>
  </si>
  <si>
    <t>Produit à éviter - ne fonctionne que quelques semaines ! Bouilloire qui fuit peu de temps après un 1er achat. Retournée car encore dans les délais et échangée. La 2ème fuit encore mais hors délais au bout d'un mois et demi. Pas de retour possible. Scandaleux de vendre un matériel obsolète au bout de quelques semaines.</t>
  </si>
  <si>
    <t>Chaussettes J’ai bien reçu l’article rien à dire</t>
  </si>
  <si>
    <t>Trop grand Super sweat mais j'ai malheureusement pris du M au lieu du S il est donc trop grand mais reste portable.</t>
  </si>
  <si>
    <t>Bonne chaussure Bonne chaussure très confortable mais assez lourdes.</t>
  </si>
  <si>
    <t>Efficace Vite livré et conforme à ce que j'attendais.</t>
  </si>
  <si>
    <t>Très bien ! Très pratique pour filmer car sans rallonge le fil du micro est un peu trop court. L'épaisseur du fil me fait un peut peur mais après trois mois d'usages intensif aucun problème à signaler</t>
  </si>
  <si>
    <t>Solide, jolis pas cher Je m'en sert tout les jours (ou presque) et il est toujours comme neuf après plusieurs mois. Alors il est un peut petit, mais c'est un avantage comme un inconvénient : ça dépend ce que vous voulez mettre dedans ! Pour ma part, le téléphone, les clés et la carte grise de la voiture et un paquet de mouchoirs dans la poche avant. C'est parfait !</t>
  </si>
  <si>
    <t>confortable solidité en plus de mes Bâtons Nordique l'acquisition des ses Salomon pour la marche son tout simplement  idéale pour mon programme</t>
  </si>
  <si>
    <t>Ce tapis est vraiment top 💜 Juste Genial !! Je m'y installe 20mn par jour, pour une détente à 200%. Pas évident au début, les picots fond mal mais une fois habituée on n'y pense plus 😃</t>
  </si>
  <si>
    <t>Bonne qualité de l'impression Une cartouche d'encre s'utilise pour imprimer ! Rien à dire de plus...</t>
  </si>
  <si>
    <t>Parfait produit de bonne qualité</t>
  </si>
  <si>
    <t>Genialissime !!! J’etais vraiment sceptique et heureusement je me suis fiée aux commentaires client. C’est tout simplement genial! J’avais vraiment l impression que quelqu’un me massait... enceinte de 9 mois j’ai mal partout 🤣 et quel bonheur.... les «&amp;nbsp;poignées&amp;nbsp;» sont bien faites et tres agreables pour deplacer l appareil sur les zones desirées. A voir dans la duree mais pour l’instant c’est un sans faute pour moi. Sans parler de la livraison en 1 jour a 10 jours de Noel! Bravo.</t>
  </si>
  <si>
    <t>contente mon mari ne les quitte plus! jolis, confortables, pratiques, le cuir au dessus fait habillé, la taille était juste. Top!</t>
  </si>
  <si>
    <t>Pratiques et discrètes Elles sont à la hauteur des attentes de quelqu'un qui cherche des chaussettes invisibles, c'est parfait.</t>
  </si>
  <si>
    <t>Aucune fuite ! Un biberon presque parfait avec un système de clip innovant plus besoin de visser la tétine on peut secouer le biberon sans fuite</t>
  </si>
  <si>
    <t>Je recommende ce produit Bon produit</t>
  </si>
  <si>
    <t>Très beau bijou Jolie forme, en plus il fait un petit bruit discret quand on bouge.</t>
  </si>
  <si>
    <t>Jolie article Identique à la photo reçus en avance</t>
  </si>
  <si>
    <t>Bon.rapport qualité/prix Rien à redire. Ne se trou pas au bout de 3 utilisation à voir avec le temps</t>
  </si>
  <si>
    <t>Impeccable adapté à l'usage</t>
  </si>
  <si>
    <t>Agréable à porter Chaussettes de sport, donc assez épaisses, mais agréables à porter, renforcée sous la plante, avec un bon rapport qualité/prix et une livraison rapide.</t>
  </si>
  <si>
    <t>Convient parfaitement Tout me convient parfaitement, le côté discret au poignet, le bracelet en métal, l'éclairage de tout le cadran, la date, l'heure au format 24h. Parfait !</t>
  </si>
  <si>
    <t>Pas terrible terrible... Bon, on va dire que pour quelqu'un qui écoute sa musique sans être trop exigeant c'est un bon casque nomade. Par contre si vous voulez un son clair et complet il faudra passer votre chemin... La réduction de bruit est inconfortable et le casque serre un peu la tête... Depuis j'en ai acheté un d'une grande marque de son et il n'y a pas photo... pas Son... pardon</t>
  </si>
  <si>
    <t>produit de mauvaise qualité non conforme aux photos Produit non conforme aux photos et la fermeture éclaire n'a résisté que quelques jours.... je souhaite le remboursement de ce produit de mauvaise qualité</t>
  </si>
  <si>
    <t>Essayer avant d acheter si vous pouvez... Le mode massage tournant continu bas en haut et haut en bas est insupportable. Le mode juste vibrant en ciblant les zones bien distinctes est très bien. Je ne l aurai peut-être pas acheté si je l avais essayé avant mais je fais avec.</t>
  </si>
  <si>
    <t>Bon rapport qualité/prix Ai commandé ces tétines car j'ai pris le kit Natural avec 4 bibérons (2 grands et 2 petits) et les grands sont livrés avec deux trous. Ma fille a tendance à boire rapidement et j'ai préféré mettre des tétines premier âge sur les 4.</t>
  </si>
  <si>
    <t>Agenda correct Agenda correct au vu de son prix, seulement 4 étoiles car je trouve que la place pour écrire est vraiment petite donc si c'est pour une utilisation pour le travail , mieux vaut prendre un modèle supérieur. Pour le reste, fait bien le job!</t>
  </si>
  <si>
    <t>ras produit conforme et livraison comme prévu, rien à redire</t>
  </si>
  <si>
    <t>Un bon Tchoupi Même si votre enfant n'ira pas instantanément sur le pot après avoir lu ce Tchoupi, ce livre aura au moins le mérite de l'interroger et de le rassurer concernant ce drôle de truc sur lequel on lui demande de s'assoir en lui demandant de faire pipi dedans. Si Tchoupi y va, alors ça va. Surtout que le Papa de Tchoupi est très pédagogue.</t>
  </si>
  <si>
    <t>Très belle bouilloire Elle est un peu plus jaune que sur la photo mais malgré tout très jolie. Elle est silencieuse et esthétique. Je suis très satisfaite.</t>
  </si>
  <si>
    <t>Avec avent pas de surprise Super produits</t>
  </si>
  <si>
    <t>Très bon et beau produit &lt;div id="video-block-R1SB7ET34KGZ0E"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id="15" preload="auto" src="https://images-eu.ssl-images-amazon.com/images/I/81s2J7S9zpS.mp4" style="position: absolute; left: 0px; top: 0px; overflow: hidden; height: 1px; width: 1px;"&gt;&lt;/video&gt;&lt;/div&gt;&lt;div id="airy-slate-preload" style="background-color: rgb(0, 0, 0); background-image: url(&amp;quot;https://images-eu.ssl-images-amazon.com/images/I/91uNG5f5YFS.png&amp;quot;);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value="https://images-eu.ssl-images-amazon.com/images/I/81s2J7S9zpS.mp4" class="video-url"&gt;&lt;input type="hidden" name="" value="https://images-eu.ssl-images-amazon.com/images/I/91uNG5f5YFS.png" class="video-slate-img-url"&gt;&amp;nbsp;Très beau collier ! Il brille bien ! Il est de bonne taille ! Les chaînes sont résistantes ! Je recommande ce collier</t>
  </si>
  <si>
    <t>Les meilleurs écouteurs non intra Ce sont les écouteurs qui sont le plus agréables à l'oreille ce qui est étonnant pour des non intra-auriculaires. Cependant ils ont l'air un peu fragiles mais pour le prix cela se comprend. Je les conseilles vraiment car ce sont les plus agréables selon moi.</t>
  </si>
  <si>
    <t>heureuse belle qualite pas decu par contre les taille sont grande</t>
  </si>
  <si>
    <t>Ravie Ravie de mon achat très jolies chausse normalement. Reçues rapidement, commandées une seconde fois pour ma nièce. Je recommande vivement</t>
  </si>
  <si>
    <t>Génial !!! Le son est vraiment bon avec ces câbles, très bon produit pour le prix. Je suis contente de mon achat</t>
  </si>
  <si>
    <t>je les recommandes j'ai choisi ces boots pour la qualité et je ne suis pas déçu mon fils ayant une moto elle sont vraiment adapter pour la protection en cas de chut et solide ce qui devient rare de nos jours bon maintient niveau cheville sont un peu lourdes mais on s'y fait</t>
  </si>
  <si>
    <t>La taille correspond bien à du 45 Mon fils les adore. Elles sont légères et tiennent bien le pied. On trouve certes mieux en terme d'amorti mais lui les utilise au quotidien.</t>
  </si>
  <si>
    <t>Commande Commande reçue aujourd'hui. Livraison et emballage impeccable. J'emploie ce produit à titre personnel. Pour cette commande, il n'y a pas eu d'erreur de boîte aux lettres, tant mieux !!! Cordialement !!!</t>
  </si>
  <si>
    <t>Super Mon fils a apprit à lire en 2 semaine fesant l'ief (école à la maison) mon fils conaissez déjà certaines syllabes il c'est juste renforcer avec se livre j'en et prit 2 il à 5 ans edmis bientôt 6 ans on a commencer début septembre nous sommes en novembre il maîtrise très bien la lecture</t>
  </si>
  <si>
    <t>achat de cafetiere très bon produit  livre ds un  emballage  bien protéger  fonctionne très bien  je le recommande a toute les personne  en plus tres commode avec son filtre eternelle</t>
  </si>
  <si>
    <t>Papier triple épaisseur C'est un bon produit; commode, le paquet n'est pas trop volumineux, mais il y a assez de rouleaux pour qu'il soit suffisant pour environ 20-30 jours même avec une petite famille qui gaspille un peu le papier.</t>
  </si>
  <si>
    <t>Parfait Après plus de trente ans de bons et loyaux services j'ai dû remplacer ma pochette par celle-ci. La même en mieux. Superbe cuir, superbes pochettes, superbe coin téléphone, superbe accroche mousqueton pour les clés. Je suis ravi, enchanté, comblé !</t>
  </si>
  <si>
    <t>Top Basket de très bonne qualité très souple très léger lorsque l’on marche Esthétiquement parlant il y a rien à dire ce sont des très belles baskets Je l’ai ai acheté pour faire du sport en salle ou pour courir à l’exterieur Prenez la pointure habituelle Livraison au top le lendemain de ma commande</t>
  </si>
  <si>
    <t>Pas trop mal Étanchéité moyenne</t>
  </si>
  <si>
    <t>decu Trés décu par la qualité et la taille</t>
  </si>
  <si>
    <t>Très lourde Très lourde</t>
  </si>
  <si>
    <t>Nul! Baisse de son inexplicable via les deux connexions incompréhensible pour un casque qui marchait si bien et alors que j'en prend soin je le déconseille fortement, je met une étoile mais il en mérite 0 !</t>
  </si>
  <si>
    <t>Taille grand Le pull est sympa par contre il taille vraiment grand.</t>
  </si>
  <si>
    <t>Micro OK - pourri pour la musique Acheté pour faire des conversations téléphoniques, parfait pour cette usage (micro OK) pour pas cher. N'espérez pas écouter le la musique avec ça !!! Autant mon BW P3 et parfait, autant ce casque est nul, pas de grave, pas d'aigue, rien.</t>
  </si>
  <si>
    <t>kit naissance complet, aux couleurs connotées fille avec ce kit contenant plusieurs biberons de différentes contenance, ainsi que le goupillon pour les nettoyer ainsi que les tétines, et, petit plus, une sucette, vous avez de quoi bien démarrer avec votre bébé (fille, puisque les couleurs rose et violet sont pour fille, les garçons ont droit au bleu!). le tout est conditionné sous blister et au final, le prix est correct et revient moins cher que chaque ustensile acheté séparément.</t>
  </si>
  <si>
    <t>Esthétique et discret Même si elle mériterait d'être légèrement plus grande, le portefeuille, les clés et le smartphone y trouve leur place. Excellent rapport qualité prix.</t>
  </si>
  <si>
    <t>Bien Bon produit</t>
  </si>
  <si>
    <t>Une magnifique machine à thé Honnêtement, elle est belle et fait du bon thé. Pour les pressés du matin qui veulent changer de leur café habituel, celle-ci est un bon compromis maintenant c'est en fonction de chacun car les 2 gros défauts de cette machine à thé sont: De 1) les capsules sont vraiment assez chère. Ok, les feuilles sont entières, ok elles sont sélectionnés dans les 5 régions les plus réputés pour leur qualité de production: japon, inde sri Lanka, chine, Afrique du sud. Les capsules sont assez arrondi pour justement permettre une meilleure infusion. A acheter surtout lors des promotions. De 2) la machine reconnaît que les capsules spécial T. Bon ok, on a 35 variétés de thés, d'infusions, de rooibos dont quelques une sont bio, mais ça nous oblige à consommer que leurs thés qui déjà ne sont pas donné.  Pour le reste, oui elle est belle, compact, facile d'utilisation, prend petites tasses comme des mugs, effectivement elle n'est pas très silencieuse mais c'est pas non plus le marteau piqueur.  Livré avec 1 filtre à eau +7 capsules. Garantie réparable pendant 10 ans par le fabricant.</t>
  </si>
  <si>
    <t>Paris 93 Bon produit</t>
  </si>
  <si>
    <t>Parfait Bonjour , conforme à la description , dimension sont impeccable pour mettre passeport carte potte feuille et meme une petite bouteille d eau ! Tres costaud et pour la pluie pas de soucis ! Je recommande cet article</t>
  </si>
  <si>
    <t>Bonne qualité Pour offrir Bonne qualité</t>
  </si>
  <si>
    <t>parfait !! livraison ultra rapide, produit conforme à la photo ! sauf comme le précise un commentaire précédent, on se demande si ce n'est pas de très bonnes imitations.éléments  flagrants en + ou en - par rapport à des vraies. moi je dis taratata ! je ne pense pas qu'amazon autorise ce genre de commerce.autant leur faire confiance.donc je vais faire abstraction du (R) en moins etc...et porter comme il se doit ma paire de converse !</t>
  </si>
  <si>
    <t>Elle est très discrète ce qui convient très bien au femme Pour le travaille</t>
  </si>
  <si>
    <t>super qualité Excellent produit !! la qualité est au rendez vous !! vous pouvez l'acheter les yeux fermés . En plus il n'est pas cher</t>
  </si>
  <si>
    <t>Très satisfaite Baskets très jolies et confortables, la paire est  conforme à la description, la taille est  parfaite , la livraison est rapide et soignée</t>
  </si>
  <si>
    <t>article très "chic" pour cette gamme de prix beau design, belle fabrication.  Emballage très chic, le mode d'emploi permet une installation aisée. Les règlages sont faciles et le son est de qualité. Donc OK</t>
  </si>
  <si>
    <t>Le top du top des vedettes Après avoir cherché et essayé pas mal de marques, de types de casques, d'écouteurs, etc. je pense avoir enfin trouvé mon bonheur. Ce casque est parfait. Léger, confortable, solide, et niveau son parfait. Un petit réglage eq semble toujours nécessaire selon la musique écoutée mais c'est plutôt normal. Le mode noise cancelling est effectivement gadget, et n'apporte rien d'autre qu'une dégradation numérique du son. Autant ne pas l'activer, jouer sur l'eq et profiter de la musique. RAS côté bluetooth, l'appairage se fait en 2 secondes et la qualité sonore n'en pâtit pas.</t>
  </si>
  <si>
    <t>Rien à redire Correspond à mes attentes Je ne les utilise qu'avec le tire lait Medela Symphony, j'ai une autre marque de biberon pour mon petit garçon. Je n'ai pas essayé leur nouvelle tétine Medela je la trouve très chère et les avis mitigés .</t>
  </si>
  <si>
    <t>Excellent produit. Très fort pouvoir collant. Malgré certains mauvais commentaires qui se plaignent que le produit ne colle pas parce qu'il n'accroche pas les doigts. Il faut leur dire que ce n'est pas fait pour coller les doigts, mais tout le reste. Donc le Double Face 3M est super puissant et judicieux à utilisé pour des environnement où il fait très froid ou très chaud sous influence des rayons UV. Je recommande.</t>
  </si>
  <si>
    <t>super enfin un soutien qui se ferme devant et qui maintient bien la poitrine; Je conseille pour celles qui ne savent pas fermer les soutiens ordinaires qui se ferment dans le dos</t>
  </si>
  <si>
    <t>Robuste et stable Utilisé avec 2 écrans de 24 pouces, ce bras est tout juste formidable. Et pour un prix très competitif. Facile à  installer. Je le recommande</t>
  </si>
  <si>
    <t>Parfait pour les enfants Les casques sont parfaits, Avec l’adaptateur pour écouter à 2 en même temps, le son est adapté aux enfants et la livraison a été très rapide</t>
  </si>
  <si>
    <t>Très satisfaisant ! Le produit est convenable, conforme aux attentes. Il a été livré dans sa boite, avec les protections permettant un acheminement dans le meilleur état ! Je recommande sans réserves :D</t>
  </si>
  <si>
    <t>Très bien Prix qui revient moins cher que dans mon Hypermarché. Lot intéressant, de quoi ne pas être à court avant un moment. Très bonne qualité, se coupe bien quand il est sur son dévidoir.  Invisible sur les papiers cadeaux ! ;)</t>
  </si>
  <si>
    <t>Gel de massage J'ai eu un peu peur en utilisant ce produit qui a immédiatement provoqué une réaction de brûlure intense. Je l'ai jeté et ne le recommande pas.</t>
  </si>
  <si>
    <t>Très bon produit mais erreur de pointure et délai d'expédition non respecté Vraiment un très bon produit et de très bonne qualité (ma deuxième paire), mais, il y a même deux mais ! J'ai commandé une pointure 41/42 ... et lors de l'ouverture du colis ... pointure 39/40 ...donc trop petit ! Je suis adhérent PRIME ... livraison prévue le samedi ... mais réception du colis ... le Mardi !</t>
  </si>
  <si>
    <t>bonne taile et joli Mais fait mal à un pied. Je ne les porte pas. Dommage. Le soulier droit fait mal au coté droit du pied.</t>
  </si>
  <si>
    <t>Satisfaite Je recommande</t>
  </si>
  <si>
    <t>Un peu déçu Remplace mon vieil éveil lumière (1er du nom) Ses défauts : on coupe la lumière quand il est en train de s’allumer en mode « éveil » et le réglage de luminosité se perd. Aucune sauvegarde de l’heure en cas de coupure.  Sinon le son est agréable, la radio aussi. Très compact. Et les chiffres de l’heure s’illuminent tellement peu au mini que ça ne gêne pas la nuit (mais du coup pas visible en pleine journée… balo)  Bref, un bon produit mais perfectible</t>
  </si>
  <si>
    <t>Casque très confortable Je n'ai pas une utilisation "musicale" à proprement dite. J'utilise ce casque pour travailler et pouvoir me couper du bruit extérieur tout en profitant d'un son de bonne qualité. C'est un casque très confortable (pas de point de pression sur le haut du crâne). Il englobe très bien les oreilles mais il faut toutefois faire attention au fait qu'il peut exercer une légère pression sur la mâchoire. Se porte facilement toute la journée.</t>
  </si>
  <si>
    <t>Chausse petit Idéal pour la marche mais il faut prendre une tille au dessus</t>
  </si>
  <si>
    <t>Pull Comme sur la photo couleur, forme, taille, bonne qualité</t>
  </si>
  <si>
    <t>belle qualité super confortable</t>
  </si>
  <si>
    <t>Rapport qualité prix trés bon L'heure peux se lire facilement  !! même si on à des problèmes de vue à recommander !</t>
  </si>
  <si>
    <t>Très joli Joli et très fin</t>
  </si>
  <si>
    <t>super rentabilité Bon super veste je fais du 38=M mais j'ai pris du L car j'aime pouvoir mettre un pull dessous et c'est parfait. La matière est parfaite et la couleur et magnifique. Le teste de la machine a lavé a était validé la couleur est toujours la même et pas de rétrécissement. Donc super qualité, super prix, et super couleur pas de regret d'achat je réfléchis déjà a la prochaine couleur que je vais prendre.</t>
  </si>
  <si>
    <t>parfait chaussettes bien épaisses qui serrent pas le pied est doux enfin des chaussettes de sport quoi atttention elles sont pas fines</t>
  </si>
  <si>
    <t>Bon rapport qualité prix Très élastique agréable au touché pratique</t>
  </si>
  <si>
    <t>Grande contenance sans être imposante, pratique et de qualité J'ai acheté cette trousse il y a presque 1 an maintenant pour mon petit garçon qui avait 6 mois afin de transporter ses repas chez la nounou. J'en suis tres satisfaite surtout au niveau de la contenance. Au départ, je ne savais pas quelle taille acheter et je suis contente d'avoir pris celle-ci car maintenant qu'il a 16 mois (et qu'il mange toujours comme un glouton) j'ai la place pour mettre un biberon, une recharge de lait, un pot à confiture (qui contient son repas) + un fruit + un yaourt et un biscuit ou du pain en tranche, sans compter le bavoir (bon apres il n'y a plus de place). Mais cette trousse est donc parfaite pour nous. Elle est souple, dispose d'une poignee pour la transporter simplement sans sac sur les airs d'autoroute par ex. (c'est du vécu), l'interieur se nettoie facilement, le colori est moderne et nos amis (parents aussi) pensent acheter la même finalement. Bref, vous pouvez y aller les yeux fermés.</t>
  </si>
  <si>
    <t>léger et confortable sport et loisirs, idéal pour un petit footing...</t>
  </si>
  <si>
    <t>La qualité Pour une personne handicapée</t>
  </si>
  <si>
    <t>Génial C’est vrai que les premières minutes d’utilisation on a l’impression que la machine va nous écraser le pied tellement c’est compressé mais pas de panique .. au niveau de la douleur il est vrai que les quatre premiers quart d’heure vous allez sentir vos pieds .. mais sincèrement après deux jours d’utilisation en faisant quatre séances de 15 minutes par jour vos pieds sont totalement décompresser.. Donc je recommande cette machine a tout ceux qui aimerait se faire masser les pieds comme un vrai massage. Donc les personnes sensible et fragile à la douleur ne vous inquiétez pas il faut vous habituer mais cela fait un bien fou. C'est un excellent produit qu'il ne faut pas hésiter à acquérir !!</t>
  </si>
  <si>
    <t>Cable audio pour enceintes acoustique. Cette bobine de câble pour branchement de baffles est de bonne facture......... Le gainage est souple et solide.........Il se dénude aisément. Me convient parfaitement</t>
  </si>
  <si>
    <t>Je recommande Un classique rien a dire de plus</t>
  </si>
  <si>
    <t>Biberon au top! Le biberon est top pour un relai allaitement. Bébé doit tout de même s’adapter car l’effort de succion est différent.</t>
  </si>
  <si>
    <t>Très bien ! Masse bien le cuir chevelu. Agréable.</t>
  </si>
  <si>
    <t>Filtre Anti-Pop Très bon filtre anti-pop que j'ai acheté en même temps que mon Bird UM1 et je suis satisfait du combo des deux afin de faire des vidéos de bonne qualité.</t>
  </si>
  <si>
    <t>Satisfaite Satisfaite</t>
  </si>
  <si>
    <t>87200 Pour le prix je m'attendais à un logo brodé Avec une imprimante et un fer à repasser, je peux en faire autant</t>
  </si>
  <si>
    <t>Mauvaise qualité Mauvaise qualité</t>
  </si>
  <si>
    <t>Son pas terrible grésillements Casque léger , facile à plier mais des bruits de saturation dans le casque au bout de la première écoute... Très mauvaise qualité de son , je suis étonné moi qui aime beaucoup la marque très déçu.  Mon fils en ayant l utilité tous les jours le son restera comme cela je n envoi pas le produit pour encore attendre la réception...Déçu.</t>
  </si>
  <si>
    <t>Biberon en verre grande capacité Biberon verre assez grand mais le petiot n'en veut pas donc rangé dans le placard la tétine est indifférente il n'en veut pas</t>
  </si>
  <si>
    <t>L'origine du produit Ce produit vient d'Angleterre, documentation en Anglais, prise de courant UK mais adaptateur fourni, tout le menu sur l'écran est en Anglais pas moyen de le modifier, ceci est anormal et contraire à la loi Française. J'ai fait appel au SAV Brother qui m'a guidé pour faire le changement de langue. Je regrette d'avoir acheté ce produit sur Amazon ce dernier n'informe pas le client de ce qu'il recevra. Arnaque!!!!</t>
  </si>
  <si>
    <t>Petit biberon pratique C'est un petit biberon très pratique pour commencer. Notre petit bout prend du lait artificiel réchauffé, il me semble que ce petit biberon perd moins vite la chaleur que celui de 240ml que j'ai également acheté. Il y a un peu de fuite, mais ce n'est pas très gênant. Point d'amélioration : les mesures sur le biberon sont difficile à lire notamment en pleine nuit.</t>
  </si>
  <si>
    <t>Conforme Arrivé comme prévu</t>
  </si>
  <si>
    <t>le bon produit pour lutter contre les douleurs de dos Il a un grand pouvoir chauffant, ce qui le rend très efficace contre les douleurs, je l'apprécie beaucoup, il détend les muscles .</t>
  </si>
  <si>
    <t>Bon rapport qualité prix Reçu dans le delai imparti fidèle à la description</t>
  </si>
  <si>
    <t>Super! J'en suis ravie, pour adresse postale, nom sur la boite au lettre, ou autres. Franchement super. Je recommanderais aussi absolument</t>
  </si>
  <si>
    <t>Super casques enfants pour la Lunii Excellent rapport qualité prix pour ce produit Mpow (déjà possesseur d'un casque bluetooth chez eux et très satisfait). Bonne finition (plastiques doux au toucher). Deux casques dans le pack, connectable en chaîne entre eux pour une écoute à deux enfants en simultané sans déperdition de son et sans besoin d'acheter un dédoubleur à part. Le son est très correct et colle au niveau sonore de la Lunii (seul objectif de mon achat). Test également sur un smartphone, très agréable surprise en terme de qualité pr un casque de cette gamme de prix. Seul bémol sur une utilisation hors Lunii, pas de réglage de volume au casque. Mais c'est un casque enfant à limitation de bruit, donc c'est parfaitement normal. Je recommande.</t>
  </si>
  <si>
    <t>Hyper confortable J'adore!!! Depuis 2 ans je ne met plus que ça d’avril à octobre !!!!</t>
  </si>
  <si>
    <t>Bien Conforme</t>
  </si>
  <si>
    <t>Très bien Je chausse du 41, la taille est parfaite. Reçu dans les temps. Ce sont des chaussettes sans talons (voir photo), mais l'élasticité fait qu'il n'y a aucun problème pour les porter. Par contre elle restent déformées, il faut voir si elles retrouvent leur forme après lavage. Rendu comme sur l'image présentée.</t>
  </si>
  <si>
    <t>économique ce modèle est celui demandé pour la rentrée en 6ème de ma fille : tous les supermarchés du coin la vendent plus cher !</t>
  </si>
  <si>
    <t>Jolies et confortables Transaction parfaite:vendeur sérieux,  livraison rapide et produit impeccable! chaussures ultra confortables, jolies, robustes, souples! Je recommande vivement cet achat avec une taille’ de plus que l habituelle ( comme indiqué sur le site )</t>
  </si>
  <si>
    <t>Belles chaussures dans lesquelles je suis bien Utilisation quotidienne</t>
  </si>
  <si>
    <t>Pratique Pratiques</t>
  </si>
  <si>
    <t>c'est ok c'est ok</t>
  </si>
  <si>
    <t>magnifique sublime collier , le pendentif et la chaine sont très fins , le cristal est bien mis en valeur par le sertissage produit en argent 925 pas de souci d'allergie livré dans un ecrin avec un petit chiffon de nettoyage . je recommande ce produit , personnellement , je l'ai adopté comme un de mes bijoux préférés</t>
  </si>
  <si>
    <t>Très bon rapport Q/P Agréablement surpris par ce sac très fonctionnel et qui semble solide. De multiples poches pour toutes sortes de choses et pourtant pas trop encombrant. Acheté pour un ultrabook 14" son chargeur et son hub, je peux y loger bien plus que prévu. des magazines, mon téléphone... Idéal pour voyager léger. La couleur est fidèle aux photos. Payé moins de 30€ pour ce sac est assez étonnant quand on voit la qualité qu'on a à ce prix d'habitude.</t>
  </si>
  <si>
    <t>bon maintien Très bon maintien des poitrines fortes grâce à la double bretelle dos nageur + bretelles classiques. Adapté pour minimiser un peu la poitrine donc pour la poledance, ça passe !!!</t>
  </si>
  <si>
    <t>Qualité prix à ne pas rien à dire Petit et solide</t>
  </si>
  <si>
    <t>Semble bonne Je n'ai pas les outils pour mesurer la quAlité de cette huile mais elle semble bonne et l'odeur est vraiment tres agreable. Je m'en sers principalement pour le ménage grace a ses proprietes "antibacteriennes"</t>
  </si>
  <si>
    <t>Tétine Tétine qui ne me conviennent pas dommage</t>
  </si>
  <si>
    <t>HS au bout d'un mois Satisfait au début Malheureusement , qualité médiocre, un écouteur HS au bout d'un mois d'utilisation normale</t>
  </si>
  <si>
    <t>Durée de vie 24H Chrono Après réception de ce casque qui était assez rapide, j'ai pu le tester :  Bonne qualité de son Casque assez confortable malgré le manque de mousse sur la partie haute que l'on pose sur la tête. Les mousses au niveau des oreilles sont correct, tien bien même en séance de sport  Problème majeur : Le mien à durée -24H... Suis-je tombé sur un défectueux ? Je ne sais pas, peu être  Du coup mon avis est : Dommage !</t>
  </si>
  <si>
    <t>Ok Trop large</t>
  </si>
  <si>
    <t>Bonne qualité Contente de mon tampon je le conseille, livré en temps et en heure. Il est au top pour les documents.</t>
  </si>
  <si>
    <t>Bel effet Joli bijou fantaisie, les reflets sont vraiment bien en plus il y a la possibilité d'avoir un bracelet qui correspond en cherchant dans le site mais il faut le chercher il n'est pas proposé en même temps.Il peut être porté avec beaucoup de vêtement le collier n'est pas très long ce qui permet de le mettre même avec un petit décolleté. Le seul regret c'est l'arrière du bijou qui n'est pas très joli mais cela n'a pas vraiment d'importance car il reste bien sur l'endroit. Mesdames effet assuré avec ce petit bijou.</t>
  </si>
  <si>
    <t>efficace j'ai obtenu de bon résultat sur des piqures de moustiques</t>
  </si>
  <si>
    <t>performant Reçu pour être testé. Ce chauffe-biberon est plutôt pas mal : le néoprène garde au chaud (pas isotherme au sens propre mais c'est pas mal), le chauffe-bib se branche sur la prise allume-cigare et chauffe relativement vite. Evidemment, il ne faut pas attendre à faire bouillir de l'eau avec ce chauffe bib, mis il est assez efficace.  Je regrette seulement l'étroitesse de la housse néoprène qui oblige à forcer un peu avec de gros biberon, et l'impossibilité de réduire la hauteur de la housse (si on roule le haut on risque d'abimer le dispositif de chauffe a priori)</t>
  </si>
  <si>
    <t>Ideal pour le debut de lecture des touts petits Enfin une collection accessible très petit, aux premiers pas de la lecture Les nouveaux mots, sons acquis sont répétés tout au long de l'histoire. Nous avons lu tous les cp débutants et enchainons le niveau 2. En plus vraiment pas cher à moins de 3€ le livre !</t>
  </si>
  <si>
    <t>achat impeccable Envoi rapide, produit nickel, et au meilleur prix, j'ai pas trouvé mieux sur le net à ce prix là. A recommander</t>
  </si>
  <si>
    <t>Superbe J'avais déjà acheter un diffuseur d'huiles essentielles pour faire un cadeau et j'ai trouvé cela tellement génial que je mù'en suis acheté un. Celui ci peut voir des éclairages de couleur mais de plus il a un minuteur de 1 heure, 2 heures et 3 heures ce qui est pratique car la quantité de fluide vu le débit ne tiendra pas plus. Bref je suis enchanté</t>
  </si>
  <si>
    <t>Parfait merci En passant ma commande, j'étais pa très sur de moi. Mais je n'avais pas d'inquiétude car je sais la politique de retour d'amazon parfaite quand on est en premium si on n'est pas satisfait. Et du coup très content de l'article, qui m' à très vite sauvé d'un torticoli qui ne voulait pas me lacher...Un petit coup au micro Onde et le tour de coup est operationnel, en plus avec les graines de lin çà sens très bon. Par contre si vous avez un coup de taureau, et pas de moineau (comme moi ) vous risquez de trouver le tour un peu court...Sinon article à commander les yeux fermés...</t>
  </si>
  <si>
    <t>Efficace J'avais, autrefois, une brosse en mousse de ce type, j'ai retrouvé avec grand plaisir cet article toujurs aussi performant. Les vieilles recettes existent toujours, et nous les retrouvons grâce au NET. Le daim et le nubuck reprennent un coup de jeunesse avec une telle brosse. Merci de continuer dans le simple et efficace !</t>
  </si>
  <si>
    <t>Excellente qualité sonore Ce microphone est le premier que je commande et mon avis peut être considéré comme celui d'un amateur, mais je n'espérais pas avoir une qualité aussi bonne avec ce micro.  Le micro est livré avec son support sur pied et un câble DMX vers jack. Le support semble un peu léger mais le micro tien bien et il permet de surélever le micro à la bonne hauteur. La prise DMX permet au micro d'être relié à une table de mixage.  Quand on parle, le micro coupe les bruits extérieurs et rend le son vraiment propre. L'inconvénient, c'est qu'il faut parler assez proche du micro pour ne pas être coupé. En somme, cela reste un micro ayant un excellent rapport qualité/prix.</t>
  </si>
  <si>
    <t>parfait encore une fois au risque de me répéter... c'est les seules tétines que mes enfants ont accepté alors forcément j'aime! elles sont vraiment bien et je pense que cela est dû non seulement a la matière mais aussi à sa forme qui rappel celui des seins....</t>
  </si>
  <si>
    <t>Bon produit satisfaisant Il est livré complet dans un packaging impeccable.  Les plus: -Son équilibré, basse présente. -Les fils semblent solides -Design et couleur. -Isolation sonore.  Les moins: rien pour le moment à voir avec le temps.</t>
  </si>
  <si>
    <t>J'adore Commandé sous forme d'abonnement chez Amazon, je ne suis plus embêtée par ces gros formats dans mon caddy qui prennent de la place dans le coffre aussi et plus la peine de se trimballer avec ses rouleaux en pleine rue ! :)</t>
  </si>
  <si>
    <t>Plutôt jolie Bouilloire de qualité</t>
  </si>
  <si>
    <t>Genial Trop contente pascher et de bonne qualité</t>
  </si>
  <si>
    <t>lourd ça fait le taff</t>
  </si>
  <si>
    <t>Écran numérique et qualité audio optimaux &lt;div id="video-block-REU1MZIDA7TI9" class="a-section a-spacing-small a-spacing-top-mini video-block"&gt;&lt;/div&gt;&lt;input type="hidden" name="" value="https://images-eu.ssl-images-amazon.com/images/I/C1OPg-HaCVS.mp4" class="video-url"&gt;&lt;input type="hidden" name="" value="https://images-eu.ssl-images-amazon.com/images/I/A1wb9BQcQrS.png" class="video-slate-img-url"&gt;&amp;nbsp;Il utilise un affichage LED numérique, il est différent des autres. Batterie - 6000 mAh. La charge est rapide. Il y a des bouchons d'oreille, un câble USB, une boîte de charge et un petit sac. Avec le prix et la qualité je suis heureux  Connection très rapide avec un autre ordinateur portable et Bluetooth, mais soyez prudent si vous utilisez Bluetooth avec une ancienne version du logiciel sous Windows /  Android. Pour cette raison, vous devez effacer l'historique et veiller à ce que les autres écouteurs Bluetooth n'essayent pas de se connecter en même temps.</t>
  </si>
  <si>
    <t>Simple et efficace Vu le prix, on hésite en se disant "bon on verra bien". Une fois réceptionné, plus aucun regret.  Pour ma part pas de défaut sur la perle de culture, la maille du collier est vraiment jolie. Il est vrai qu'il n'y a pas de certificat, mais on voit rapidement qu'il s'agit bien d'un collier en argent. Le collier arrive tout de même dans une boite. Au final ma femme est conquise !</t>
  </si>
  <si>
    <t>Au top J'ai récupérer mes Timberland jaune (en nubuck) que je n'avais pas laver depuis 2ans elle sont ressortis comme neuve simplement bien suivre les indications du livret livrer avec la pochette de produits qui soit dit en passant est bien pratique pour que les produits ne se balade pas séparé dans les tiroirs. TOP</t>
  </si>
  <si>
    <t>Bouilloire à l’ancienne Très jolie ligne de bouilloire , mais le thermostat est trop aléatoire( juste esthétique). Le bec verseur est limite trop étroit, et il faut remplir doucement cette bouilloire de grande capacité, ce qui prend du temps.</t>
  </si>
  <si>
    <t>Tout ce buzz pour ca? Je cherchais des écouteurs moyenne-gamme pour un usage intensif dans les transports en commun (gardant mon haut de gamme pour certaines occasions). Au vu des avis plus que favorables, je me suis tourné vers cette marque en me disant que le rapport qualité-prix devait être imbattable. Et bien déception!!  Points négatifs: 1) Le fil est trop long, bien trop long. Alors que nous sommes à l'ère du sans-fil, quel est l'intérêt d'avoir un fil encore plus long que la moyenne? 2) Pas de basses, qui sont aux abonnés absent. Dans cette gamme de prix, j'ai eu bien mieux niveau basses. 3) La petite manette de contrôle a l'air très fragile et pas pratique.  Bref, je ne comprends pas ce buzz avec une note très élevée. Il y a bien mieux dans cette gamme de prix! A la limite il vaudrait mieux mettre 10 euros de plus et prendre le bas de gamme Sony MDR, la qualité est bien meilleure.  Bref très déçu par le son, métallique et sans basses.</t>
  </si>
  <si>
    <t>désilusion Nous avons du matériel Kitchenaid à la maison, et nous voulions cette bouilloire qui nous manquai. Elle est très joli est pratique. Mais malheureusement elle est tombée en panne moins d'un mois après réception. Le vendeur à fait le nécessaire pour la récupérer directement chez nous par un transporteur. Cependant nous attendons toujours notre nouvelle bouilloire. à suivre...</t>
  </si>
  <si>
    <t>son correct pour le prix mais câble trop trop fin j'avais acheté le modèle en dessous à environ 15€ qui possédait un câble très épais qui à la longue ne donnera pas de faux contacts au niveau de la connexion au mini jack. J'ai donc acheté le même modèle mais gamme au dessus, avec microphone, je précise car je me demande si cela n'a pas un lien avec l'épaisseur du câble. Le câble donc qui relie le jack est trop fin à mon goût et le dernier casque Yamaha que j'ai payé 100€ à l'époque a finit par faire un faux contact au bout de 364 jours alors que je n'ai jamais forcé ni plié le fil aux endroits sensibles. Derniers points faibles, pas de boutons volume disponible à côté du microphone. Certains internautes se plaignent de la perte en qualité chez Sony des middles mais prix correct.</t>
  </si>
  <si>
    <t>Bien Juste le mode d'emploi pas assez complet</t>
  </si>
  <si>
    <t>Parfait - Attention à la garantie AirPods 2 avec charge wireless comme convenu ! tient super bien la batterie, son fort et dynamique : de bonnes basse et retransmission de la voix super! Dis Siri marche vraiment bien, pas besoin de parler fort.  attention juste à bien activer la garantie apple : la date d'achat n'est pas connue par Apple, du coup si on envoie pas la facture Amazon à Apple, la date de début de la garantie sera la date à laquelle les AirPods ont été livrés à AMAZON !</t>
  </si>
  <si>
    <t>Pas mal Mis dans deux pièces très humides. Résultats dès le lendemain. Petits bémol, cela se clipse mal et l'eau (qui devient bleue) tache. Il faut nettoyer immédiatement après. Sinon je suis relativement satisfaite pour le petit prix</t>
  </si>
  <si>
    <t>Température réglable,valeur pour l'argent. Très belle bouilloire électrique, la livraison express est très rapide.👏👏  Je l'ai reçu le lendemain après avoir passé la commande, donc je suis si heureux.  La bouilloire chauffe l'eau très rapidement, la température à l'intérieur de la bouilloire est visible et peut être réglée, ce qui est très pratique.  J'aime vraiment cette bouilloire, satisfait!  Satisfait！Satisfait！</t>
  </si>
  <si>
    <t>Parfait Un peu cher mais super efficacité, je recommande.</t>
  </si>
  <si>
    <t>pratique conforme à la description</t>
  </si>
  <si>
    <t>trés belle encyclopédie je recherchais un livre sur les animaux pour mon fils passionné et bien celui ci fait parfaitement l'affaire les images sont superbes et les explications pas trop longues juste ce qu'il faut.</t>
  </si>
  <si>
    <t>Très bon rapport qualité/prix. Idéal pour usage familial. Installation très facile. Manuel en français. Très bon son pour un usage familial (testé karaoké en famille). Le signal porte au moins jusqu'à 10 mètres. Autonomie 3 à 4 heures. Très bon rapport qualité/prix.</t>
  </si>
  <si>
    <t>Son parfait Je me suis commandé ce produit surtout pour regardez la télé car un casque ce n est pas évident de se poser avec. Le produit en lui-même est super sympas et léger. La qualité du son est très bonne. Je ne l' ai pas tester en courant mais seulement dans la rue et les oreillettes tiennent bien. Je suis très contente de ce produit.</t>
  </si>
  <si>
    <t>Excellent rapport qualité prix Pour ce prix ces feutres sont juste géniaux mes filles sont tombées sous le charme regardez les photos : dessin sur des galets, sur des lamas en céramique. Les couleurs sont belles, la marque inconnue mais apparemment de qualité Une très bonne pioche.</t>
  </si>
  <si>
    <t>Pour un thé parfaitement infusé ! Depuis le temps que je la voulais et c’est sans regret ! Elle est très facile d’utilisation. Je peux enfin boire mon thé sans brûler les feuilles à 100°c (ce qui est dommage quand on achète du thé en vrac de bonne qualité) et je ne dois plus attendre trop longtemps pour le boire. De plus, l’eau chauffe très rapidement ! Le seul point que j’aime moins est que j’ai dû la brancher à un domino avec interrupteur car même éteinte j’avais l’impression qu’elle chauffait encore un peu. Personnelement, je n’ai pas ce goût chimique dont plusieurs personnes semblent se plaindre. Je ne peux plus m’en passer et ne reviendrai pour rien au monde à une bouilloire classique !</t>
  </si>
  <si>
    <t>bensimon tennis Parfaites comme d'habitude ,j'ai ces chaussures dans différentes couleurs,et en couleur blanche ,très mode en ce moment elles sont encore plus belles.Je chausse du 39  habituellement et elles me vont parfaitement bien. En general je les passent en machine a 40 degrés elle tiennent impeccablement bien la couleur .</t>
  </si>
  <si>
    <t>Super Super qualité super jolies</t>
  </si>
  <si>
    <t>270 Mon fils en est content je les recommande</t>
  </si>
  <si>
    <t>confort look qualité Des chaussures pour tous les jours, le bureau, la détente, le confort, le look indémodable, la qualité du cuir et de la semelle</t>
  </si>
  <si>
    <t>Parfait 👍 Super produit,je recommande</t>
  </si>
  <si>
    <t>Excelent produit, mais respectez les exigences que je cite Super produit, et très bon rapport qualité prix. Je me permet toutefois d'ajouter des choses suite aux commentaires que j'ai pu lire.  1- D'abord il faut prendre sa taille, voir une taille au dessus, pour moi "L" est ma taille et c'est parfait. Mais oui c'est prêt du corps, et c'est bien le but si on veut sentir la chaleur. 2- Je recommande de porter sur un t-shirt, pour 2 raisons : hygiène (la veste ne se lavant qu'à la main, et pour bien sentir la chaleur sans "brûler", car ça chauffe très bien. Mais bien sûr il faut porter des vêtements par dessus (veste moto, de ski ou autre). 3- Le choix de la batterie externe doit se faire vers un modèle delivrant au moins 1A suffit parfaitement, le mieu étant 2A.  Je pense que les problèmes de certains qui ne sentent pas le chaud ne respectent pas ces exigences.  Pour terminer, on sent bien la chaleur ventrale, un peu moins le bas du dos, et assez peu le haut du dos. Mais la chaleur est vraiment présente, c'est super. Un achat parfait</t>
  </si>
  <si>
    <t>Génial mais bruyant! Il est très élégant et je ne m'attendais pas à ce qu'il soit aussi grand, cependant il a pas mal bruyant, pas idéal pour les thés de minuit</t>
  </si>
  <si>
    <t>Mauvaise qualité Montre très pratique et jolie, mais bien trop fragile, la pièce qui maintient le bracelet à déjà cédé et le cadran ne peut plus maintenir la petite pièce.</t>
  </si>
  <si>
    <t>Prendre une taille au dessus (ou deux) Mon mari es fan de cette marque depuis toujours mais la c’est du grand n’importe quoi trop petit et le cordon de serrage de la capuche es juste mal fait Livré dans les temps</t>
  </si>
  <si>
    <t>Je veux ma taille S Très très grand</t>
  </si>
  <si>
    <t>Pas si incroyables pour du camping Je me suis laissé tenter par les commentaires positifs, et ai acheté une paire de Crocs en complément de mes chaussures de randonnée pour 2 semaines de rando+camping sur le chemin de Stevenson : + elles sont légères + elles tiennent bien aux pieds + faciles à nettoyer + on peut aller dans l'eau avec - malgré les trous, le pied n'est pas aéré, l'humidité et la transpiration restaient, même en marchant - mouillées, elles on des pertes d'adhérence (au pied et au sol) - le plastique du dessus frotte sur la peau plus fine, et m'a fait des plaies lorsque portées plus d'une heure (il aurait fallu porter des chaussettes...) - c'est encombrant à ranger dans un sac, à cause de la semelle qui est très large par rapport au pied - la chaussure n'est vraiment pas compressible pour rentrer dans un sac (elle se déforme facilement mais reste déformée ensuite)</t>
  </si>
  <si>
    <t>Boîte fissuré Reçu le pot dans les délais mais le pot fissuré de haut en bas sinon après une première application le produit a redonné un coup de jeune aux bottes en cuir a voir dans le temps</t>
  </si>
  <si>
    <t>Taille grand mais la couleur est jolie Joli veste survêtement. La couleur rose est belle mais taille grand. Je l’ai quand même gardé mais je retourne les manches !!!!</t>
  </si>
  <si>
    <t>arbre à biberon Produit conforme à la photo, originale. seul bémol l'emballage, en le recevant j'ai eu peur de découvrir le contenu mais au final tout était là et rien de cassé.</t>
  </si>
  <si>
    <t>Un achat satisfaisant et conforme à la description Ce grille-pain répond parfaitement à mes attentes : rapidité, qualité des toasts, simplicité d'utilisation, tout est parfait ! sauf... je n'ai pu utiliser l'appareil que hier ( cadeau de fêtes des pères !) et je constate qu'un accessoire est manquant : le réchauffe viennoiserie qui est normalement inclu . Trop tard pour introduire une réclamation. Je recommande donc de bien vérifier le contenu de la boite. Dommage, j'aurais pu être totalement satisfait</t>
  </si>
  <si>
    <t>top Fidèle à la marque depuis de nombreuses années, jamais déçue, la qualité est encore au rendez-vous. Faites que ça dure!!</t>
  </si>
  <si>
    <t>Très bien Très satisfaite  j'en commande deux autres dans d'autre couleurs</t>
  </si>
  <si>
    <t>Ravie Conforme à mes attentes. Change du traditionnel égouttoir à biberons. Très joli sur mon plan de travail. Je l'utilise pour les biberons mais aussi pour les bouteilles dans lesquelles je fais du soda et celles en plastique dur Tupp.</t>
  </si>
  <si>
    <t>Top Ultra top à mettre en machine. Retire les poils et peluches des vêtements. Accélère le séchage du linge. Aide au lavage.</t>
  </si>
  <si>
    <t>Casque AKG K240 MKII Un excellent casque semi-ouvert circum-aural, il est imposant mais sur il se porte de longues heures sans problème sur la tête. On ne sent pas le poids, il ne comprime pas les oreilles (qu'il ne touche pas) et le fil est assez long pour l'oublier un peu. Attention tout de même si vous n'êtes pas seul, en poussant un peu le volume, les personnes autour de vous entendrons bien la musique eux aussi! Pour la qualité sonore, je vous laisse regarder les sites spécialisés, pour ma part, je le trouve suffisant pour mes oreilles. Mise à jour: Achat début 2016 pour une utilisation sédentaire au travail, le simili-cuir des oreillettes commence à montrer une très faible usure pour un usage quotidien plusieurs heures par jour. En dehors de ça, aucun problème.</t>
  </si>
  <si>
    <t>Super Très satisfaite de ces boites dosettes!</t>
  </si>
  <si>
    <t>Le bien être Pour des douleurs à l'épaule et au genou et depuis son utilisation, je me sens beaucoup mieux. Je recommande ce produit. J'y rajoute l'huile essentielle de GAULTHERIE, et son effet est garanti</t>
  </si>
  <si>
    <t>Calculatrice demandée au collège Achetée pour le collège. Ras. Celle de mon fils a 2 ans et seule la coque de protection s'est fendue mais pas toute seule je pense...</t>
  </si>
  <si>
    <t>Trésor bon rapport qualité/prix ! Mon mari les a testé hier et aujourd’hui toute la journée . Il adore la qualité du son. Les deux écouteurs peuvent fonctionner ensemble ou bien chacun indépendamment . Il y a la fonction kit main libre et si on appuie 3 fois dessus «&amp;nbsp;siri&amp;nbsp;» se met en route sur iPhone . Quand il les porte contrairement à d’autres paires qu’il a pu s’acheter on n’est pas dérangé par de la musique qui s’échappe de l’écouteur donc il les porte même au boulot en atelier sans que ça ne dérange autour de lui . Tout est arrivé déjà chargé et prêt à utiliser . Les écouteurs rechargent dans  le socle et en 48h de test il n’a pas encore eu besoin de recharger le socle . Tout s’est très vite connecté il suffit de lire la notice et faire ce qui est dit c’est super simple . Merci à vous !</t>
  </si>
  <si>
    <t>Qualités prix Satisfaite</t>
  </si>
  <si>
    <t>Pratique et solide Agenda très paratique, couverture et papier sont de bonne qualité. L'aspect de cet article est très professionnel.</t>
  </si>
  <si>
    <t>superbes sneakers Je suis accro à ce modele ! c'est ma 5e paire ! Tres confortable Rapport qualité prix tres bon pour une chaussure de chez Nike</t>
  </si>
  <si>
    <t>Tout à fait parfait Super sympa, belle coupe , beau tombé...tissus agréable La photo correspond bien à la réalité, aucune déception à la réception.</t>
  </si>
  <si>
    <t>Sac Homme Sac de bonne fabrication, robuste et bien agencé. Son style passe-partout conviendra aussi bien a un étudiant qu'a un homme plus âgé. Les coutures sont solides et soigné, l’ensemble présente bien.</t>
  </si>
  <si>
    <t>Parfait C'est le exactement le sweat que je souhaitais, j'ai eu la chance que XL m’aille parfaitement, levi's c'est top et j'espère le garder longtemps</t>
  </si>
  <si>
    <t>confortable J'ai bien aimé les écouteurs car ils sont assez confortables et offrent une qualité sonore très acceptable.</t>
  </si>
  <si>
    <t>Contrefaçon? On peut se poser la question. Après avoir donné une appréciation très positive dans un premier temps sur ce vendeur, une réflexion et observation plus approfondies me font revoir mon jugement. La montre n'a pas été livrée dans une boite CASIO, pas de mode d'emploi ni de facture. Un simple sachet plastique sur lequel figure la référence de la montre (A168WA 1YES) qui ne correspond pas à celle étiquetée sur le produit (A168WEGC-3DF). De plus, il y a un défaut au niveau de l'écran: il n'est pas solidaire du boitier, il s'enfonce légèrement à gauche lorsqu'on appuie dessus. Toutes ces remarques font qu'on peut se poser des questions sur le sérieux du vendeur et sur l'authenticité de la marque CASIO. Pour moi, vendeur à oublier. Précision supplémentaire : j'ai acheté une deuxième montre avec AMAZON mais avec un autre vendeur qui, elle, a été livrée avec étui CASIO, mode d'emploi et facture. On peut se poser des questions, non?</t>
  </si>
  <si>
    <t>Problème de qualité ou défaut ? Le bracelet est plus souple que l'original . Il est aussi plus fragile.il aura fallu à peine trois mois pour qu'il se déchire au niveau de son accroche à la montre.</t>
  </si>
  <si>
    <t>Bien mais glissants Semble de bonne qualité, confortable mais les semelles glissent beaucoup trop sur du carrelage</t>
  </si>
  <si>
    <t>Pour le prix c'est imbattable. Pour le prix c'est imbattable.</t>
  </si>
  <si>
    <t>pantalon de sport très confortable facile d'entretien</t>
  </si>
  <si>
    <t>Mon atout sport Très confortable. C’est pour faire de la salle. Pas trop chaud et s’adapte très bien à tous les pieds</t>
  </si>
  <si>
    <t>Bonne cafetière Beau design, facile à utiliser et même à programmer. Sympa de pouvoir lire l'heure sur la cafetière. Mon seul bémol:  difficile de repérer le niveau d'eau de la jauge du réservoir net le marquage de la graduation de la verseuse ne commence qu'à à 8 tasses... J'ai encore du mal à bien doser pour des petites quantités de café. A part elà franchement c'est un super produit.</t>
  </si>
  <si>
    <t>Tiennent bien chaud Chaussons pour homme de qualité. Tiennent bien chaud , résistants , solides. Semelles résistantes et anti dérapantes. Sur les chaussons , il y a des fils pailletés , un peu dérangeants étant donné que ces chaussons sont pour hommes , c'est dommage.</t>
  </si>
  <si>
    <t>Bonne qualité Tissu bien épais et de bonne qualité, la personne qui l’a reçu est satisfaite</t>
  </si>
  <si>
    <t>Douceur Franchement bien. Ras</t>
  </si>
  <si>
    <t>Trop bien C'est la première fois que je ferais ce style des bijoux à ma chérie elle a été ravie le trouve très jolie je conseille cela change d'un bracelet d'une bague des boucles d'oreilles sois inventif</t>
  </si>
  <si>
    <t>Ravie Beau bijoux, bonne qualité je pense que je le laisserai autour du coup de ma fille même la poussée dentaire terminée j'ai même acheté le bracelet !!</t>
  </si>
  <si>
    <t>Baskets solides! J'ai acheté une paire il y a 10 ans, très confortable. Usée jusqu'au bout (après reconversion pour les travaux et la tonte), il a fallu qu'un chien me force à en racheter une paire!  J'ai acheté une autre version de cette basket, et au bout de moins d'un an, j'avais des trous au niveau de pliure... Idem pour des Adidas Gazelle qui se sont vite usées en moins d'un an...  Après retour aux sources, je n'ai aucuns soucis avec cette paire.  Légère déception: la semelle qui s'use plus vite que mon précédent modèle.  Je recommande, un modèle de solidité et de confort!</t>
  </si>
  <si>
    <t>Bon t-shirt Pas lourd, facilement retirable, c'est un bon produit. Assez fin, donc peut être pas adapté pour les hiver assez froids.</t>
  </si>
  <si>
    <t>je le recommande très joli bracelet</t>
  </si>
  <si>
    <t>bonne transaction bon produit</t>
  </si>
  <si>
    <t>Très bien C’est tres un très bien produit!</t>
  </si>
  <si>
    <t>Adidas stan Produit conforme livraison rapide</t>
  </si>
  <si>
    <t>Sweat à capuche Très bonne qualité, taille parfaite, convient à mes attentes, je recommande ce produit, bon rapport qualité prix, livraison comme prévue</t>
  </si>
  <si>
    <t>Rapport qualite prix bien au rendez-vous... Pour l'impression photo je ne trouve aucune différence sur la qualité du rendu. parfaitement adaptable à mon imprimante ces cartouches font aussi bien que les originaux...même mieux, au vu du prix qui reste incroyable.</t>
  </si>
  <si>
    <t>Trop trop bien dedans Super cool et Comme prevu pour la livraison</t>
  </si>
  <si>
    <t>Le produit est mieux que ce que la photo laisse imaginer. la finition est mieux que sur la photo. (cette dernière pourrait-être mieux détourée, mais ne vous y fiez pas: les produits sont vraiment TOP ! agréables au toucher, et bien lisses sur la face exterieure !</t>
  </si>
  <si>
    <t>Contente de mon achat Taille très bien, et est très jolie</t>
  </si>
  <si>
    <t>MAM - LA BASE Mon fils utilise ses biberons depuis la naissance. Ils sont parfait. Facile d'entretien, très robuste. Je ne changerai pour rien au monde. D'ailleurs c'est simple, mon fils refuse tous les autres biberons. De plus, l'action anti colique est génial.</t>
  </si>
  <si>
    <t>Erreur couleur Le produit en lui même est bien, par contre il est annoncé noir en coloris alors que c'est Du bleu marine</t>
  </si>
  <si>
    <t>Je déconseille ce produit ! N'a d'huile essentielle que le nom, presque sans odeur, sans efficacité !</t>
  </si>
  <si>
    <t>Boucles d oreille Ne correspond pas à  l image la monture n'est pas en argent mais en métal noir très déçue doute sur le fait que ces boucles d oreille soient en argent</t>
  </si>
  <si>
    <t>très bien Acheté 7 euros, dure environ un an (même en faisant beaucoup de peinture!). Les couleurs sont vives, se mélangent bien et peuvent même s'utiliser diluées pour des "aquarelles". Facilement lavable sur toutes surfaces (plancher, table, plastique, etc) mais pas forcément sur les tissus...</t>
  </si>
  <si>
    <t>Bouilloire efficace mais.. Assez bruyante et longue à chauffer. Le design est agréable et la prise en main aussi. Bon rapport qualité-prix en général.</t>
  </si>
  <si>
    <t>parfait bracelet reçu aujourd'hui au vu des commentaires j'ai eu très peur quand a la qualité du bracelet c'est le bracelet pandora n'est pas livré dans une jolie boite mais dans un sachet plastique je l'es ouvert et j'ai tout de suite si l'inscription ALE y était inscrite et bien oui je ne suis pas allé le faire verifier par un bijoutier mais je pense que c'est un vrai apres je ne suis pas experte  en tout cas pas du tout deçue de mon bracelet il est vraiment tres beau</t>
  </si>
  <si>
    <t>Excellent pour apprendre à écrire Acheté pour mon fils qui apprend à écrire. le stylo glisse bien, même si le tenir n'est pas si agréable par rapport à d'autre stylo plus adapté aux enfants J'en ai acheté un autre pour moi</t>
  </si>
  <si>
    <t>Rien Très jolie. Mon mari les adore.</t>
  </si>
  <si>
    <t>Bien mais un peu cassant. La section est suffisante pour mon usage. Par contre quand on dénude la gaine il faut y aller minutieusement, les fils internes sont fins et cassent vite.</t>
  </si>
  <si>
    <t>produit de qualité je suis très satisfais de mon achat idéal pour un cadeau je le recommande a tous</t>
  </si>
  <si>
    <t>Bien ajustés et soldes ! Nickel pour remplacer les anciens passants cassés des Garmin 735XT, et tout jours en bon état après plusieurs semaines d’utilisation ! Comme c’est un lot, on pourra les changer à nouveau si besoin.</t>
  </si>
  <si>
    <t>enchantée superbe bracelet</t>
  </si>
  <si>
    <t>Bonjour Bonjour</t>
  </si>
  <si>
    <t>Pratique dès 2 mois! Excédée par des biberons qui duraient une heure avec les tétines 1 mois, j'ai opté dès le 2ème mois de ma fille pour ces tétines vitesse 2. Débit parfait et elle boit enfin des quantités suffisantes sans trop se fatiguer! je recommande et vais surement en commander de nouvelles!</t>
  </si>
  <si>
    <t>Top Le style, la qualité, le confort = le top</t>
  </si>
  <si>
    <t>Très Beaux Conformes aux photos. Top pour le prix</t>
  </si>
  <si>
    <t>Nickel Bon produit</t>
  </si>
  <si>
    <t>love je les aime, elles sont vraiment au top tellement stylé et indémodable, ça va avec tout jean, short, jupe avec n'importe quoi, la livraison a été rapide, le prix est très intéressant, juste je chausse du 38 et vu les commentaires j'ai pris du 37 et c'est juste parfait, prenez une taille en dessous sinon magnifique</t>
  </si>
  <si>
    <t>Pratique Je sais, ce n'est pas très écolo. Mais lorsqu'il s'agit d'enlever la poussière, que ce soit sur vos sols à l'aide d'un balai adapté ou sur des meubles à la main, c'est bien pratique. Pas de contrainte de lavage de la lingette, pour un balai, et du bon chiffon bien doux et qui accroche, pour l'usage manuel. Il suffit ensuite de jeter la lingette et d'en prendre une autre la fois suivante (bien sûr, vous allez aussi dire que cela coûte cher. Mais chacun est libre de faire comme il veut). Ici, 120 lingettes ; ce qui permet a priori pas mal de perspectives de grand nettoyage.</t>
  </si>
  <si>
    <t>Un livre de Noël enchanteur J'aime beaucoup ce livre de Noël: l'histoire d'un petit sapin qui rêve déjà de porter une magnifique robe de Noël... Alors que tous les grands et beaux sapins désertent les alentours, le petit sapin reste seul avec pour unique ami un très vieil arbre qui n'aspire plus à aucune parure depuis bien longtemps. Une histoire pleine de poésie et de douceur, avec des illustrations sobres et élégantes, tout particulièrement adaptées à ce joli conte de Noël.</t>
  </si>
  <si>
    <t>ras Très bonne qualités</t>
  </si>
  <si>
    <t>Très bonne basses Du son, des basses, atténuateur de bruit naturel</t>
  </si>
  <si>
    <t>Au top Au top, super confortable. Taille impeccable.</t>
  </si>
  <si>
    <t>Parfait Cette tenue de compression est parfaite pour les amateurs de compression, musculation, elle saura vous maintenir vos muscles durant vos grosses séances de pousse de fonte. Je recommande pour la qualité et la taille ... jamais déçus !</t>
  </si>
  <si>
    <t>Illisible et fonctions Bluetooth Inexploitables Cette montre n'a d'intérêt que pour son look, très sérieux et de qualité. Pour le reste elle ne sert à rien et n'est d’ailleurs plus vendue par Fossil, qui fait un prix bas pour liquider ses stocks.  La connexion bluetooth se fait bien mais les informations qu'elle fournit à la demande, par pression sur les 3 boutons de la montre, sont livrées par des positions d'aiguilles bizarres et incompréhensibles. De plus ce sont des infos sans intérêt (lancer la musique sur le mobile, savoir si son objectif de nombre de pas est atteint...). Je n'ai même pas compris comment savoir si j'ai reçu un texto.  La vibration sur son poignet censée alerter sur l’arrivée d'un texto est imperceptible. elle ne sert donc à rien.   La couronne  "tachymètre" contient des chiffres absolument illisibles tellement ils microscopiques, de même que le cadran "nombre de pas".  Finalement je n’utilise cette montre que classiquement : pour connaitre l'heure !</t>
  </si>
  <si>
    <t>Boucle trop fragile Dès réception très contente du modèle et de la couleur mais en détachant les deux parties la boucle en métal c'est détaché donc article retourné car boucle trop fragile et peur de perdre ma montre avec...</t>
  </si>
  <si>
    <t>Déçu T-shirt de mauvaise qualité le noir du t-shirt a viré en un seul lavage et lavé tout seul. Pas du tout satisfaite très déçu</t>
  </si>
  <si>
    <t>déçu Un des crochets pour attacher les lacets c'est cassé. chez le cordonnier il ne veut pas le réparer. au prix de la paire de chaussures c'est dommage. Que pourriez-vous faire Merci de me répondre rapidement Cordialement Mme Thérèse Lemaire</t>
  </si>
  <si>
    <t>Bof Bof ! Bien uniquement si on y accroche un poids très très léger. Sinon se décolle du mur. Pas top du tout.</t>
  </si>
  <si>
    <t>Délai respecté Un peu juste</t>
  </si>
  <si>
    <t>Super achat La qualité et le confort des Stan Smith est inégalable. Elles taillent super bien, il n’y a vraiment rien à redire !</t>
  </si>
  <si>
    <t>Bonne qualité Rien à dire</t>
  </si>
  <si>
    <t>Bonne qualité Produit de de bonne qualité très à l'aise dedans un peu compensé couleur conforme à la photo</t>
  </si>
  <si>
    <t>grande qualité Je retrouve là une qualité professionnelle avec un film qui attache à tous les supports (y compris le plastique). Le système de dévidoir avec la réglette qui coupe est très bien pensé. Très satisfait de ce produit avec un prix attractif quand on le compare au traditionnel rouleau de 30 mètres</t>
  </si>
  <si>
    <t>Très pratique Lampe de bureau de bonne qualité, possibilité d'avoir une lumière blanche ou jaune. C’est léger et pas trop grand, très pratique!</t>
  </si>
  <si>
    <t>Chaussure de securite Légère à porter très belle je les recommande</t>
  </si>
  <si>
    <t>Satisfait Boots de très bonne qualité, cuir lisse et à la bonne taille (43 pour du 43,5) en sachant que Caterpillard taille toujours un peu grand. Je rajouterai quand même une semelle supplémentaire comme à l'habitude. Excellent rapport qualité prix, à voir sur la durée !</t>
  </si>
  <si>
    <t>Elle a kiffé Confortable et tient chaud</t>
  </si>
  <si>
    <t>Très bon produit Très bon produit</t>
  </si>
  <si>
    <t>À recommander J’avais commandé deux de ces pulls (un blanc et un vert irish) en taille S. Je mesure 1m60, ils restent donc un peu oversize, sans être énormes non plus! La matière est toute douce et très agréable :) Le premier pull est arrivé avant la date prévue, et le second ne devrait pas tarder.</t>
  </si>
  <si>
    <t>Livraison hyper rapide - Vendeur TOP - On ne le présente plus c'est un must have Le baume du tigre est excellent pour qui pratique une activité sportive régulière et veut en réduire les effets C'est le produit à avoir pour se préparer avant et après son activité. Je le recommande vivement Merci</t>
  </si>
  <si>
    <t>Satisfait Le basket Sont super confortable. Je recomsnde à tous les personnes pour l’acheter sont supe</t>
  </si>
  <si>
    <t>Bon rapport qualité prix Modèle court et petit</t>
  </si>
  <si>
    <t>Casque bluetooth pour mes voyages Recu rapidement avec la livraison prime. Je recherchais un casque pour mes voyages, celui ci isole bien du bruit c’est ce que je recherchais en plus du design qui est conforme à la photo. Ce qui est egalement appreciable c’est que la lecture bluetooth sans fil puisse durer toute une journée. Casque qui fait le job. Satisfait du produit</t>
  </si>
  <si>
    <t>Haute qualité Casque sans fil bluetooth de tres bonne qualité et polyvalent pour la musique ou le téléphone, la radio. Il est compact et le son est tres clair.Achat à recommander.</t>
  </si>
  <si>
    <t>QUE LA COMMANDE CORRESPONDE PARFAITEMENT A MES BESOINS POUR DU CLASSEMENT INTENSIF. IL EST PARFAIT!</t>
  </si>
  <si>
    <t>bracelet cuir produit bien conditionné et reçu rapidement. de bonne qualité</t>
  </si>
  <si>
    <t>Taille et bon rapport qualité prix Parfait cadeau que mon père a adoré, niveau de la taille parfait également, très satisfait !</t>
  </si>
  <si>
    <t>Un peu cher J'ai acheté un autre pantalon de ce genre et la qualité est bien meilleure, plus confortable, meilleur maintien au niveau de la ceinture. Pour un prix équivalent. Donc lorsqu'on peut comparer....</t>
  </si>
  <si>
    <t>Accessoire esthétique sans plus Les points d’acupuncture sont hasardeusement placés, pas assez épais pour être ressentis et surtout les chaussettes ne sont pas du tout anti dérapantes: plutôt embêtant pour des accessoires yoga</t>
  </si>
  <si>
    <t>Inutile Ne maintien pas du tout, et contrairement à ce que montre l'image, il n'y a pas de cache téton.</t>
  </si>
  <si>
    <t>Correct Je viens de les recevoir donc à voir dans le temps par contre il n'y a pas de chaussette de fourni donc attention à bien prendre à coter</t>
  </si>
  <si>
    <t>Basket passe partout. Chaussure conforme à la description, malgré tous ça fait 15 jours que je l'est porte, elles sont un peu raide ça change de mes nike en tissu, mes bon elle maintienne bien le pieds et sont passé partout.</t>
  </si>
  <si>
    <t>Micro amusant le micro est sympa même s'il manque de puissance. Il a été facile à coupler en Bluetooth et la fonction "écho" fait son effet</t>
  </si>
  <si>
    <t>Très bieb Très jolie conforme à la photo et arriver dans les temps</t>
  </si>
  <si>
    <t>très bon lot Lot acheté récemment, commande très vite réceptionnée, peu fan du modèle de la brosse à biberons, néanmoins les biberons sont excellents</t>
  </si>
  <si>
    <t>JBL toujours bon rapport qualité/prix, mention spéciale à la rapidité de livraison ! Casque toujours au top chez jbl pour du milieu de gamme, livraison ultra rapide même sans amazon prime 😉 foncez !</t>
  </si>
  <si>
    <t>preparation du bib en moins de 3 min! cet appareil m'a sauvé! surtout la nuit, rapide et l'eau a a la tres bonne temperature! je n'ai jamais eu aucun soucis avec. petit bemol mais qui ne m'a pas vraiment derangé c'est le bruit! mais on ne peut pas tout demander non plus!</t>
  </si>
  <si>
    <t>très bien très bien</t>
  </si>
  <si>
    <t>Parfait Déjà commande cet article Pas de soucis Bon produit</t>
  </si>
  <si>
    <t>Je suis très content merci Tout comme il faut, merci</t>
  </si>
  <si>
    <t>Parfaites Elles sont parfaites pour moi. La taille correspond à ce que j'ai commandé et il n'y a aucun défaut. Rien à redire sur la qualité du produit.</t>
  </si>
  <si>
    <t>Satisfait Utilisation quotidienne. Répond à mes attentes</t>
  </si>
  <si>
    <t>Sac holster Kattee Superbe sacoche avec de nombreuses poches.  Produit de très grande qualité. Cuir magnifique,  fermetures solides.  Par contre ce n'est pas fait pour des personnes plus petites que 1m65 car assez volumineux.  Très satisfait.</t>
  </si>
  <si>
    <t>Très bon produit pour lave vaisselle ! Ne laisse aucune trace sur la vaisselle et ne l'agresse pas non plus.</t>
  </si>
  <si>
    <t>sac sacoche surprenant de beauté et praticité, finitions parfaites, cuir qui va bien se patiner, l'ensemble est relativement léger par rapport à d'autre au prix approchant.</t>
  </si>
  <si>
    <t>Collier en Argent J.Rosée Collier coeur en Argent J.Rosée reçue rapidement. Emballage parfait dans une petite boîte. Un petit sac pour le ranger était fournis dedans. Le collier est magnifique. La chaîne est fine et solide. Je suis ravie de mon achat.</t>
  </si>
  <si>
    <t>Bon produit. Très bon produit le seul bémol la notice en anglais.</t>
  </si>
  <si>
    <t>Très belle Bensimon. Les classiques ! Toujours aussi efficace !</t>
  </si>
  <si>
    <t>Bien Biberon très apprécié par bébé, qui essayait de tenir lui-même son biberon en verre de la même marque. Avec celui-ci, pas de risque de casse s'il tombe par terre, et les poignées permettent une bonne saisie. Mon bébé de 7 mois 1/2 a compris comment s'en servir, mais ne sait pas encore le soulever suffisamment haut pour boire lorsqu'il est peu rempli. Je recommande</t>
  </si>
  <si>
    <t>Deçue J'aimais beaucoup le concept de ce chauffe biberon qui réchauffe rapidement et correctement. Je rencontre tout de même deux problèmes : ce produit est lourd et encombrant, et le mien fuit à tous les coups ...pourtant je fais très attention : je le ferme bien, le laisse debout... mais mon sac à langer ainsi que les affaires de mon bébé se retrouvent toujours trempées.  J'ai cessé de l utiliser.</t>
  </si>
  <si>
    <t>Aucune transparence quant aux niveaux d'encres à réception, durée de vie des cartouches relativement courte… Je pense que HP devrait être plus transparent avec ses clients. En effet, il n'est pas possible de vérifier le niveau d'encre à réception de ces cartouches et comme celles-ci ne durent vraiment pas longtemps on a vraiment l'impression de se faire refiler des cartouches reconditionnées... J'ai acheté une imprimante rechargeable au moins là, je verrais exactement les quantités d'encre insérées dans la machine et la durée de vie des flacons !</t>
  </si>
  <si>
    <t>Bof Les cartouches sont moins chers qu'en magasin mais vu la durée de vie, je comprends... En effet, les cartouches sont vides très rapidement, donc elles ne sont pas pleines, c'est pas possible, car j'imprime pas des livres, donc je suis plutôt déçue</t>
  </si>
  <si>
    <t>produit inefficace médiocre</t>
  </si>
  <si>
    <t>Lessive Pratique pour faire sa lessive</t>
  </si>
  <si>
    <t>Bottes neige Je suis content en général.  Bon produit</t>
  </si>
  <si>
    <t>Un lot sympa de bon matériel La valise est sympa, colorée et avec un logo Bic pas trop voyant : on peut la réutiliser sans problème. Des vrais pastels gras qui marquent, de la colle à paillette et des feutres magiques + coloriages. L'ensemble est d'un excellent rapport qualité/prix.</t>
  </si>
  <si>
    <t>Sanytol Très n rapport qualité-prix quand on l’achète moins de 8€.</t>
  </si>
  <si>
    <t>Très confortables J'ai les articulations des pieds très sensibles, ces chaussures sont aussi confortables que des pantoufles. Elles amortissent bien toutes les irrégularités du sol. Super pour la marche.</t>
  </si>
  <si>
    <t>Super Achat conseillé par la maîtresse.</t>
  </si>
  <si>
    <t>Très jolies Jolies boucles commandées deux fois pour moi et maman ; étant allergique, j'ai attendu un peu ; voyant qu'elles ne me faisaient pas de mal, j'ai recommandé ; ni trop grandes, ni trop petites, la pierre brille bien ; je ne les porte cependant que quelques jours dans la semaine de peur de les abîmer . Je recommande ; prix raisonnable .</t>
  </si>
  <si>
    <t>Belle sacoche Sacoche compacte en cuir qui a de nombreuses poches et très jolie... Je recommande</t>
  </si>
  <si>
    <t>Génial Pour moi c’est le meilleur casque qui existe pour la Xbox One pas de fil rien à paramétrer franchement c’est le top et un son du démon quoi</t>
  </si>
  <si>
    <t>Tissu très ageable Détente mais aussi sport</t>
  </si>
  <si>
    <t>Bel effet Sympa bonne qualité par rapport au prix</t>
  </si>
  <si>
    <t>Produit nickel Excellent je recommande</t>
  </si>
  <si>
    <t>Robuste il tient longtemps Juste parfait comme goupillon pour les biberons ou la vaisselle.</t>
  </si>
  <si>
    <t>Nikel Super</t>
  </si>
  <si>
    <t>confortable Apres 6 mois d'utilisation quotidienne, elles n'ont pas encore de signe de faiblesse, legere, confortable, avec un style pour des chaussures de securité</t>
  </si>
  <si>
    <t>bon bon</t>
  </si>
  <si>
    <t>Très bel achat Délai de livraison très long mais quel beau t-shirt. Couleur bleue identique à la photo, belle coupe et bonne taille. Bravo.</t>
  </si>
  <si>
    <t>Bonne qualité et tel que decrit Pour l'avent</t>
  </si>
  <si>
    <t>Casque parfait Home studio</t>
  </si>
  <si>
    <t>Plutôt pour femme Les bracelets sont jolis mais je les imaginais un peu plus masculin, je les ai offerts à des amies finalement</t>
  </si>
  <si>
    <t>Ne fonctionne plus en 1 semaine de temps !!!!!!!! Voila cela fait 1 semaine que je l'utilise et la il ne fonctionne plus du tout . Moi qui me disais je vais prendre un bon prix pour être tranquille voila le résultat et je peut plus le renvoyer car j'avais prévu de l’acheter avant mon accouchement et de plus qu'on a que 30 jours pour le renvoyer .</t>
  </si>
  <si>
    <t>NUL Le produit est assez cher, on pourrait donc demander un produit d'une très bonne qualité. Cependant ce n'est pas le cas. Le produit laisse des traces (même en suivant le manuel d'utilisation). Mes Timberland sont ruinées. Je déconseille fortement !</t>
  </si>
  <si>
    <t>Bon rapport qualité prix Bon sweat,confortable assez chaud, il taille bien.  Je trouve dommage que la ficelle soit si grosse mais c'est un détail.</t>
  </si>
  <si>
    <t>Très bonne montre Très jolie montre bien fonctionnelle rien à dire je la recommande vraiment sauf que j'ai pas aimé le prix barré se n'est pas le bonet car nouveau prix avec la réduction ce le vrai prix de la montre par tous sans réduction je l'ai trouvé dans deux magasin à ce prix  après mon achat</t>
  </si>
  <si>
    <t>Bien Ni trop fine ni trop épaisse , parfait</t>
  </si>
  <si>
    <t>Très bon rapport qualité-prix ! Je ne m'attendais pas à quelque chose d'extraordinaire avec ces écouteurs sans fil, même si Xiaomi est une très bonne marque en électronique de loisirs.  Je dois dire que j'ai été surpris par la qualité et la précision du son.  Evidemment, les basses ne sont pas très présentes, comme d'habitude sur ce type d'écouteurs intra-auriculaires. Mais ici, la qualité et la présence du son fait vite oublier les basses un peu faible, qu'on peut d'ailleurs renforcer grâce à de nombreuses applications IOS ou Androïd qui permettent de modifier le profil de la courbe de réponse.  Les écouteurs tiennent bien dans les oreilles (que j'ai pourtant assez grandes) même avec les oreillettes de taille médianes.  Le temps de charge m'a semblé relativement rapide, pour une autonomie que je trouve suffisante, d'autant plus qu'ils se rechargent dès qu'on les range dans leur coffret : bien vu !  Enfin, l'appairage sur mon iPhone 6+ s'est fait du premier coup, sans aucune difficulté, en stéréo.  Bref, pour le prix proposé, je suis très satisfait et je pense que j'ai fait un très bon choix !</t>
  </si>
  <si>
    <t>Comme pour beaucoup, la crise à frappée Pas aussi bien taillés que ceux que j'avais acheté en boutique il y a 10 ans de ça mais je pense que ça vien simplement de l'évolution des choses en général. Les couleurs au top et la matière et qualité Lacoste est la malgré tout</t>
  </si>
  <si>
    <t>saguaro taille 38 me vont parfaitement,très confortable, j'envisage d'acheter une autre paire pour ma fille, attention si vous n'aimez pas sentir les reliefs du sol passer votre chemin, car vous quasiment l'impression d’être pied nu.</t>
  </si>
  <si>
    <t>Rapide, efficace....top Livraison rapide, produit conforme, Bin conditionné Je recommande</t>
  </si>
  <si>
    <t>Pantalon chaud Pantalon chaud.agreable à porter. 2 poches plaquées  ceinture avec un lien qui permet de l adapter au tour de taille.</t>
  </si>
  <si>
    <t>Top fait son job Très bien fait son job</t>
  </si>
  <si>
    <t>Confortable Utilise pour marcher...</t>
  </si>
  <si>
    <t>Ecouteur HAVIT Bonjour, J'ai acheter ce produit de haute qualité pour 20 euro. Je trouve que j'ai rentabilisé mon achat. Pour moi, il est très résistant, il n'a jamais eu de problèmes. La microphone et qualité du son sont de haute qualité : vous entendez bien même dehors. Vous avez une petite sacoche pour ranger les écouteurs, c'est bien lors de voyage. Il est facilement réglable et ajustable à toute les morphologies. :D</t>
  </si>
  <si>
    <t>Tres bien Look sympa,bien fini,pratique,joli cuir j en ai offert une a mon pere pour noel il etait ravi du coup je m en suis recommandė une autre pour moi, le plus  c est la taille,les poches sont grandes donc pas besoin de tortiller le portefeuille pour le faire rentrer,les fermetures eclair ont l air solide et glissent tres bien,ce qui est appreciable quand vous avez une main prise pas besoin de poser le paquet pour tenir la sacoche d une main et ouvrir avec l autre,tout peut se faire d une main,de plus il y a une poche grande contenance et une poche tres mal placée....pour les pick-pockets</t>
  </si>
  <si>
    <t>Trop cool Super</t>
  </si>
  <si>
    <t>La qualité Très bon produit super prix</t>
  </si>
  <si>
    <t>Stabilité Cette table de massage est très pratique à l’ouverture est très très stable, les matériaux sont beaux et agréable à toucher j’en suis très satisfait</t>
  </si>
  <si>
    <t>correspond bien à la description J'ai acheté ce bijou pour faire un cadeau. Il est très joli, très fin et correspond bien à la description</t>
  </si>
  <si>
    <t>Top ! Avec une alimentation phantom 48v c'est top  !  Très bon son et très bonne finition  !  Le filtre antipop est pas mal mais laisse passer quelques souffles</t>
  </si>
  <si>
    <t>Belles Belles bottines / boots. Confortables et stylées.</t>
  </si>
  <si>
    <t>. Gaming</t>
  </si>
  <si>
    <t>Très satisfaite 👍😊 Je suis très contente et satisfaite des cartouches d’encre que j’a Acheter pour mon imprimante 🖨 je recommande à tout ceux qui hésite aller y foncer !!</t>
  </si>
  <si>
    <t>Très bon rapport qualité prix Ma fille a acheté ce collier pour le partager avec une amie elle est très satisfaite!</t>
  </si>
  <si>
    <t>Un peu déçue J'aime les biberons mam ma fille de 16 mois n'a utilisé que ces biberons depuis sa naissance. Je suis simplement déçu des biberons j'avais commandé ces biberons parce que je les trouvons mignons pour compléter ma collection à l'ouverture de mon colis ce n'était pas les biberons commandés Déception totale ...</t>
  </si>
  <si>
    <t>Taille très petit Trop petit pour un taille m... On dirait du XS....</t>
  </si>
  <si>
    <t>Trop petit déçue Produit reçu pour un XXL correspond à un M, Je suis très déçue, je renvoie le produit et je ne recommande pas.</t>
  </si>
  <si>
    <t>le produit et de bonne qualité jai indiqué adapté comme prevu car dans mon cas et dans les avis des gens connaissant carhartt cest souvent large donc jai choisis MEDIUM mais allez savoir pourquoi jai reçu du S.... bref l'article et irreprochable hormis cela.</t>
  </si>
  <si>
    <t>Bon casque Bon casque mais rien d'extraordinaire, de plus il faut repayer une application de 20€ par la suite afin d'avoir le son Dolby atmos, un son de meilleur qualité (vite fait hein, pareil rien d'extraordinaire).</t>
  </si>
  <si>
    <t>Bon rapport qualité-prix Bon rapport qualité-prix. S'adapte parfaitement à l'écran, se pose facilement et rapidement, aucune bulle, tient bien et colle bien sur tous les côtés. L'efficacité du verre en cas de choc reste à prouver, mais c'est une sécurité d'en mettre un sur son téléphone. Je recommande cet article.</t>
  </si>
  <si>
    <t>Bracelet duo Stylé, se portent très bien en duo</t>
  </si>
  <si>
    <t>La rapidité de livraison  et l'emballage au top La beauté des pierres</t>
  </si>
  <si>
    <t>Livraison très rapide merci Vendeur sérieux écouteur bon tombe pas son acceptable livraison très rapide je recommande</t>
  </si>
  <si>
    <t>Impeccable Tout est parfait. Il n'y a rien à dire. Très souple, agréable au toucher. Les compartiments sont bien disposés et le look est agréable.</t>
  </si>
  <si>
    <t>Yeah elle a aimé</t>
  </si>
  <si>
    <t>Isolants  et  confortables Je les  trouve  vraiment super.La mousse est vraiment innovant et agréable à l'oreille. Il remplace mes  écouteurs d'origine one  plus  et la qualité du son est vraiment très bonne. Les  fils ne s'en mêlent pas et sont très discret.</t>
  </si>
  <si>
    <t>Biberons Conforme à mes attentes</t>
  </si>
  <si>
    <t>rien à redire à peine reçus déjà testés, je suis très satisfaite de mon achat !  jolies couleurs ,panel intéressant.Une suggestion: faire le même panel mais en pointes moyenne comme pour les stabilo 88.</t>
  </si>
  <si>
    <t>Confortable Conforme à la photo</t>
  </si>
  <si>
    <t>parfait Les écouteurs sont très bons et beaucoup plus satisfaisants que prévu. Je l'ai acheté pour aller au travail et j'ai écouté la chanson doucement. La dissimulation est très bonne ~ La forme compacte peut être portée avec moi. Je la porte quand j'arrive. Il est très sûr et difficile à trouver. C'est très pratique, l'emballage est également très bon, plus délicat, Le produit est vraiment bon, en particulier le son du casque Bluetooth est assez clair, il n'y aura pas de bruit</t>
  </si>
  <si>
    <t>Brassieres calvin excellente Comme d d'habitude très très bon produit..taille parfaite..et la qualité aussi rien a ajouter de plus C est une belle brassiere</t>
  </si>
  <si>
    <t>biberons au top!!!! je recommande ces biberons, utilisée à l'époque pour mon fils, j'en ai racheté pour mon futur bébé à venir dans quelques mois.</t>
  </si>
  <si>
    <t>du Lacoste tres bien fini du beau travail bien fait elle rend tres bien et surtout très pratique</t>
  </si>
  <si>
    <t>Rapport qualité prix Excellent ! Soulage vraiment les tensions. Peut être utilisé sur toutes les parties du corps qui en ont besoin.</t>
  </si>
  <si>
    <t>Produit conforme Très bon produit</t>
  </si>
  <si>
    <t>Très bien Je les ai acheté pour ma fille , parfait au niveau taille , paire de baskets très confortable , matière respirante , au niveau talon en dessous plus précisément coin  air ce qui rend grand confort aux pieds , ma fille aime ses baskets et moi je contente de mon achat .</t>
  </si>
  <si>
    <t>Belle imitation Bracelet un peu long mais sinon belle montre, expédition très rapide, présentation de la montre très soignée ... Satisfaite donc ... A voir dans le temps bien sur !!!</t>
  </si>
  <si>
    <t>Recommande moyennement Heureusement que j avais prévu de prendre 1 à 2 taille en dessous sinon pas très grande qualité bon vu le prix on s'attend pas à.... Sinon bien chaude</t>
  </si>
  <si>
    <t>C'est cassé en moins de 24h00 ! Le bracelet c'est cassé sans raison en moins de 24h00. Pourtant l'élastique avait l'air solide.</t>
  </si>
  <si>
    <t>Pratique mais déchire facilement Très pratique mais il y en a déjà un qui s'est déchiré au niveau de l'ouverture ZIP</t>
  </si>
  <si>
    <t>Bon article mais cheveux emmêlés Produit conforme à la description. Pas déçu de ce coté là. J'aime les massages à la tête. Mais ne remplace pas le massage manuel. C'est plus agressif que le bout des doigts même si les bouts sont en caoutchoucs. Il y a que 2 vitesses et la moins rapide est trop rapide je trouve. J'ai les cheveux ondulés et parfois ça me les emmêlés. Mais ils ne restent pas coincé dedans. Je le garde quand même car j'ai personne pour me masser la tête!!! 😒C'est mieux que rien!!</t>
  </si>
  <si>
    <t>Le massicot n’est pas de bonne qualité La plastifieuse est ultra simple d’utiLisation. Le massicot en revanche n’est vraiment pas terrible, je ne m’en servirais pas car j’en ai un autre beaucoup plus performant et heureusement.</t>
  </si>
  <si>
    <t>Correspond tout à fait à mes besoins Petit travaux de couture et travaux manuels</t>
  </si>
  <si>
    <t>tres utile ! j ai commandé cette couverture pour mon époux qui n arrivait pas a se rechauffer quand il rentrai en scooter en plein hiver....on s en sert aussi sur le canapé devant le film, sa chaleur est reglable, cela rechauffe en douceur...ce produit correspond a mes attentes parfaitement</t>
  </si>
  <si>
    <t>bonne table de massage Bonne table pour le prix .  Ne "couine" pas .J'attends de voir à l'usage (notamment avec des personnes de fortes corpulence)</t>
  </si>
  <si>
    <t>Bon produit Très bon produit, à la hauteur des attentes il faut prendre une pointure de moins que votre pointure basket</t>
  </si>
  <si>
    <t>Nickel Au top</t>
  </si>
  <si>
    <t>Sur un nuage Je me sens comme dans un nuage</t>
  </si>
  <si>
    <t>Câble RCA XLR Câble RCA-XLR de bonne qualité, pas de faux contact pour l'instant... Fiches RCA moulées donc non démontables. Bonne longueur et couleurs de repérage L/R sur les fiches</t>
  </si>
  <si>
    <t>Micro Non, vraiment bas de gamme que je ne recommanderai pas car les résultats sont loin de ressembler à la description du produit. La réaction du fournisseur ne peut que montrer le sérieux de cette société, un grand merci à elle.</t>
  </si>
  <si>
    <t>Très bon casque nomade - bon rapport qualité/prix La qualité Marshall est au rendez-vous pour ce casque Nomade! Avec un bon rapport qualité/prix ce casque est parfait pour écouter de la musique sur son smartphone</t>
  </si>
  <si>
    <t>bijou Bracelet Rose plaqué Or Jolie Couleur Feuilles de Zircon pour  Femmes  merci super vendeur merci</t>
  </si>
  <si>
    <t>Parfait Rien à dire, ces chaussures sont très bien.</t>
  </si>
  <si>
    <t>Chaussures parfaites Produit conforme et taille impeccable</t>
  </si>
  <si>
    <t>Chaussure confortable Taille bien, j'avais pris du 38. C'est une bonne chaussure, on a l'impression d'être dans des chaussons tellement c'est confortable.</t>
  </si>
  <si>
    <t>Stupéfaint Je cherchais un casque à prix raisonnable et de bonne qualité, et j'ai été servie ! Le son est juste incroyable et tres équilibré.</t>
  </si>
  <si>
    <t>Discret Écouteurs bluetooth sans fils Un écouteur par oreilles Très discret car aucun fils La qualité du son est très correct Parfait pour écouter la musique pendant le sport ou au bureau en toute discrétion</t>
  </si>
  <si>
    <t>objet indispensable depuis qu'on a cet arbre, que tout le monde adore au niveau design, c'est devenu un véritable ami et indispensable à notre quotidien de parents pratique, facile à nettoyer et on arrive à mettre beaucoup de biberons et accessoires</t>
  </si>
  <si>
    <t>Ravie de mon achat. Un peu mini le bouilloire, un peu plus grand que la taille de ma main. Mini mais Pratique pour la maison. Le tuyau pour faire sortir l'eau est différent qu'un bouilloire normal mais hyper pratique, plus d'inquiétude qu'il soit renverser trop vide et que ça brûle les mains. La limite (max) pour remplir l'eau est moindre mais suffisant. Ainsi que les différentes fonctionnalité, tel que les +/- et garder chaud (je pense) est un plus qu'un bouilloire normal dont je n'ai pas encore utiliser. En tout cas, ce mini bouilloire passe par tout, même au bureau c'est Hyper pratique. Je le recommande très fort.</t>
  </si>
  <si>
    <t>J'adore ces boucles La qualité de ces boucles d’oreilles est très bonne, je les mets sur le 2ème trou que j'ai aux oreilles le rendu est top. J’aime bien la couleur qui brille style couleurs de l'arc-en-ciel. En argent 925  stérilisé. Les boucles sont très confortables. Tous les détails sont bien faits. Arrivée dans la boîte avec le nom de marque dessus.</t>
  </si>
  <si>
    <t>Vraiment bien :) Mon fils utilise ce casque sur son PC surtout pour les jeux mais aussi pour les vidéos youtube. Il apprécie le confort des mousses sur les écouteurs et aussi la sensibilité du micro lors de ses parties de jeux. Le casque se règle très facilement et s'adapte bien à la tête. Le câble est assez long et le réglage du son se fait directement sur l'un des écouteurs. En résumé, vu le prix je suis très satisfait .</t>
  </si>
  <si>
    <t>collant mauvaise qualite</t>
  </si>
  <si>
    <t>Déçu Très déçu taille petit est arrivé en retard et en plus avec une couture déchiré je l'ai pas renvoyé par manque de temps mais vraiment très déçu</t>
  </si>
  <si>
    <t>très deçue J'ai commandé cette sacoche pour mon marie noël. Elle avait de très bon commentaire sur Amazon et donc un très bon rapport qualité/prix. Au bout d'un mois et demi d'utilisation, elle est déjà décousue (voir photo ci-joint). Je suis très déçue.</t>
  </si>
  <si>
    <t>Propre et vide elle est belle... Entre calcaire et buée, une fois en service le design devient très décevant. Avantages tout de même : on voit bien le volume d’eau avec échelle tracée et elle contient beaucoup (1,7 litres).</t>
  </si>
  <si>
    <t>Sweat Reçu avant le déla, un sweat qui tient chaud mais qui n'est pas du tout en conformité avec ce qui était annoncé sur le détail Amazon</t>
  </si>
  <si>
    <t>MONTRE CASIO La seule observation  est qu'à la commande il n'y a aucune indication concernant la longueur du bracelet et à la réception le bracelet s'avère trop court et impossible de la porter</t>
  </si>
  <si>
    <t>casquette stylé moins alaise que dans une 100 pourcent coton</t>
  </si>
  <si>
    <t>Pas mal Tapis de souris intéressant pour supporter le poignet mais je trouve que le silicone est trop mou un peu dommage</t>
  </si>
  <si>
    <t>Bien ! Bien mais fait légèrement mal aux oreilles</t>
  </si>
  <si>
    <t>Bon produit La qualité du micro est convenable sans plus, la bonnette est très pratique pour éliminer le moindre bruit de vent. Attention au positionnement de la prise jack sur un mobile dont les antennes sont proches, cela risque de s'entendre dans la prise de son. L'astuce consiste alors à passer son mobile en mode avion pendant une prise de son, à condition de ne pas être dépendant du réseau au moment de cette prise.</t>
  </si>
  <si>
    <t>nettoyage vinyles j ai redècouvert des disques que je croyais perdu.Si le produite semble un peu cher j'ai quand mème nettoyé environ 100 vinyles par litre,pour un effet durable.Encore merci.</t>
  </si>
  <si>
    <t>Super Sachant qu’elles taillent petit j’avais pris une taille en plus et c’est Parfait. J’ado Ces baskets que j’avais Déjà en argenté. Elles résistent bien et les paillettes aussi.</t>
  </si>
  <si>
    <t>attention à la taille Pensez à prendre une taille au dessus de celle habituelle avec de précédentes Puma. Je chausse, avec cette marque, normalement du 42  et j'ai dû commander pour cette paire une taille 43.</t>
  </si>
  <si>
    <t>Très bien Conforme</t>
  </si>
  <si>
    <t>Excellent Le legging ressemble à la photo , reçu rapidement (avant la date prévue), je commanderai une autre couleur prochaine fois parce que le gris ne me mets pas en valeur . J’ai pris une taille S (j’ai 55 kg , 1m62) et je porte du XS habituellement</t>
  </si>
  <si>
    <t>Bien Franchement pour le prix c'est impeccable. Bon c'est un manteau pour l'hiver dans le sud - Je suis satisfaite, j'en recommande un second</t>
  </si>
  <si>
    <t>Gomettes Mon fils ador j en est meme recommander un lot pour lanniversaire de ma niece. Les couleur son belle de couleur vif a des couleur pastelle. Une petite pochette pour tout remettre dedans tres pratique</t>
  </si>
  <si>
    <t>conforme tres bonne chaussure de securiter,tres cofortable et tres solide,je bosse dans l btp et elle sont ideale pour travaille dans milieux humide</t>
  </si>
  <si>
    <t>Excellent Très joli !</t>
  </si>
  <si>
    <t>parfait ++++ ce foofSaver est vraiment parfait autant pour son utilisation simple que pour la qualité de mise sous vide et de soudure. Les produits gardent parfaitement leur fraicheur</t>
  </si>
  <si>
    <t>Un lot de t-shirt basiques de bonne qualité Ces t-shirts sont de coton de qualité. Ils n'ont pas bougé au lavage, ils ne déforment pas et le coton reste doux. La coupe est confortable et ils taillent bien .Les coutures et les finitions sont très satisfaisantes. La couleur est à l'identique des photos.  Parfait pour porter l'hiver sous un pull. Idéal pour faire du sport, à porter lors de moment de détente ou à la maison.  Un bon rapport qualité prix.</t>
  </si>
  <si>
    <t>Tres bien Tres bien</t>
  </si>
  <si>
    <t>surmatelas chauffant 2 personnes XXL Ce surmatelas a été acheté depuis un bon moment. Il est toujours fonctionnel..... malgré la dimension XXL que j'ai commandé par erreur.... donc un peu trop large, mais cela ne gêne pas.</t>
  </si>
  <si>
    <t>Bonne perche Super perche qui fera largement le taff sur des annees ( si votre but est de simplement faire tenir un micro au dessus de votre tete ) Le systeme d'accroche (sur le bureau) est tres bien. Je conseille tout de meme de mettre un ptit bout de carton de l'emballage pour eviter les rayures sur une table en verre par exemple ( meme si ca rayera pas en vrai)</t>
  </si>
  <si>
    <t>Feuille protection popolini Les feuilles de protection popolini sont de très bonne qualité, Elles ne se déchirent pas sèche ou humide elles restent robuste. La longueur et la largeur est suffisante pour les couches lavables quelques soit la dimensions de la couche et l'âge de l'enfant (testé avec des enfants de 6mois à 2 ans et demi). Le format "rouleau" est assez économique. Il y a un système afin de découper une feuille par une feuille assez efficace. Les feuilles, sont biodégradables et passent donc dans les wc, très pratique, moins de déchets et moins d'odeur de couche.  Je recommande vivement ce produit!</t>
  </si>
  <si>
    <t>Attention il n'y a pas de socle détachable. En fait la bouilloire ne se détache pas de son socle. Donc pour la remplir il faut se balader avec le socle et la prise électrique à chaque fois.</t>
  </si>
  <si>
    <t>Produit très fin Taille bc trop grand et très fin aucun intérêt</t>
  </si>
  <si>
    <t>Défaut de produit Bonsoir , j’ai acheter ce produit il y a 1 mois , sauf que il y a une fuite et je ne peux plus me servir , je commande souvent sur Amazon mais là niveau qualité c’est n’est pas le bon produit , comment pourais-je faire pour faire marche la garantie. C’est vraiment nulle , Pour le site Amazon comment fonctionne votre garantie ? Là il faut m’aider merci</t>
  </si>
  <si>
    <t>PROBLEME D'EPAISSEUR DU PAPIER TOILETTE LE TREFLE Bonjour Hier j'ai ouvert le nouveau paquet de papier toilette rien à voir avec les paquets précédents largeur identique mais l'épaisseur à complétement disparue une feuille de papier à cigarette rien de plus. Le nouveau papier est très fragile. Avant 5 feuilles à l'utilisation maintenant 9 et c'est pas BIEN. Je suis très déçue meme si ce n'est que du papier toilette...!!! Salutations Bonne Journée MTB</t>
  </si>
  <si>
    <t>télécomande trop lourd car la télécommande + et - est trop imposante</t>
  </si>
  <si>
    <t>Confortable Délais de livraison respecté et arrivée du paquet en bon état ! Essayées de suite, elles sont bien taillées, confortables, chaudes et parfaitement fidèles aux photos. La taille 38 avec chaussettes me va parfaitement, mais bien que jolies, je trouve qu'elles font un gros pied !! à voir comment elles vont tenir dans le temps et si l'imperméabilité sera réelle !  j'attends les rouges ;)</t>
  </si>
  <si>
    <t>Bien Bien rien a dire Bon rapport qualité prix</t>
  </si>
  <si>
    <t>Y a plus qu' à attendre la neige Montage très robuste sous un look plutôt tonique, ces bottes qui me tentaient depuis des années ont fini par rejoindre mon parking à chaussures. Au milieu des autres, et dans une taille assez ample, elles s'imposent un peu, raison pour laquelle j'enlève une étoile. Leur vraie place sera l'espace blanc immaculé, et là, elles seront à la bonne échelle. Intérieur amovible, laçage très aisé, je recommande. Si vous pouvez les essayer avant de les acheter, ce sera parfait !</t>
  </si>
  <si>
    <t>Très bon casque, confortable, bon rendu audio. Mon Sennheiser HD280 ayant rendu l'âme, j'ai longuement cherché son remplaçant. Je me suis tourné, après mûre réflexion et sans l'avoir jamais écouté en magasin, vers le AKG K712 pro, ce pour plusieurs raisons : c'est un des rares casques à être encore fabriqué en Europe (AKG ne fabrique plus que ce modèle sur le vieux continent, le reste est fabriqué en Chine), il est le mieux noté dans sa catégorie (casque ouvert) et restait dans mon budget (le haut du haut de mon budget pour un casque audi (la moto, c'est encore plus cher :-) ).  Les plus de ce casque : un très bon rendu audio, fidèle et neutre dans la restitution des morceaux (attention à la qualité de votre source, un mauvais MP3 vous frustera au possible, de même que de la musique en ligne de moyenne qualité). D'après les critiques et autres experts audiophiles, ce casque a été amélioré dans le basses fréquences ; je ne peux vous confirmer ou infirmer, mais comparé à mon vieil HD280, je lui trouve la même qualité (ou défaut pour d'autres) : il n'a pas de basses trop présentes. Amateurs de basses, il conviendra de faire un +1 sur votre bouton d'ampli (mais comme je vieillis, mon oreille ne sera jamais la votre). Le détail sur les morceaux de jazz est remarquable, dans les scènes live je trouve qu'elles manquent un peu de profondeur, ce comparé à mes enceintes audio (de "vieilles' Cabasse).  En ce qui concerne le confort d'écoute, les coussinets tiennent bien sur l'oreille, ils isolent assez du monde extérieur sans pour autant vous en couper, et en hiver vous englobent d'une douce sensation de chaleur. En été, au bout de 2 heures, une pause fraicheur s'impose. Le maintien est très bon, aucune gêne de ressentie que ce soit sur le haut du crâne ou sur les oreilles. Pas de mauvaise sensation de compression. Bref, casque très confortable.  Dernier atout, le cordon de ce casque peut se dévisser, et il est livré avec un adaptateur jack lui aussi vissable. Donc, si votre chat est comme le mien fan de cordons électriques et qu'il passe son temps à les boulotter, pas de panique, votre beau casque AKG marche toujours, il vous faudra juste racheter le cordon.  En résumé, si vous avez le budget, il ne faut pas hésiter.</t>
  </si>
  <si>
    <t>Très bien Excellent produit,taille bien je fais un 40 en haut et j’ai pris M la couleur,matière et rapport qualité prix me convienne</t>
  </si>
  <si>
    <t>Très pratique grand capacité et solide pour le moment Pour mon mari</t>
  </si>
  <si>
    <t>Pas d'importance Parfait</t>
  </si>
  <si>
    <t>parfait cartouche d'origine donc parfaite rien a reprocher juste que l'on paie la marque met des fois faut mieux</t>
  </si>
  <si>
    <t>Joli bracelet Le colis est arrivé bien emballer. Joli bracelet en argent de bonne qualité. Il y a deux charmes. L’un est un joli arbre de vie et l’autre est un brillant Swarovski. Le bracelet est joliment fini, bien polis. Je le trouve élégant, fin et a la fois solide. Il est facilement réglable à la dimension de son poignet. Il pourrait faire un joli cadeau mais je le garde pour moi 😊</t>
  </si>
  <si>
    <t>Chaussons chauds La couleur des chaussons et originale (pour un garçon) et le fait que le col soit pas très haut on peut mieux les enfiler et on a moins chaud aux pieds. Semblent résistants.</t>
  </si>
  <si>
    <t>Foncer acheter les Top top top rien a dire</t>
  </si>
  <si>
    <t>Cadeau parfait Je l’ai acheté pour mon fils de 4&amp;nbsp;ans. Il aime chanter et parler avec ce microphone et faire écho. Je l’aime bien aussi.Il est facile à utiliser et l’effet sonore n’est pas mal. C’est pourquoi je vais en acheter un autre pour ma nièce. Le service client est génial. Merci</t>
  </si>
  <si>
    <t>Grands Les bracelets sont de taille M, bien trop grands pour moi. Du coup, j'ai du les reduire, et c'est assez difficile. Vu qu'il y a des tailles, ça aurait été bien d'avoir le choix. Hormis ça, ils sont parfaits, les pierres sont belles. Je ne saurai me prononcer sur les effets.</t>
  </si>
  <si>
    <t>Une bonne affaire Au vu du prix soyons direct c'est une excellente affaire. Scotch de bonne qualité. Au décollage la colle reste bien sur le scotch et ne pollue pas la partie scotchée. Très discret car bien translucide et tient très bien en place. Un bon produit.</t>
  </si>
  <si>
    <t>Élégance et style Pochette classe, de belle qualité.</t>
  </si>
  <si>
    <t>Conforme à la description Chaud et confortable, conforme à mes attentes, taille légèrement grand</t>
  </si>
  <si>
    <t>Super biberon Je trouve c’est biberon super et je conte en recommandé</t>
  </si>
  <si>
    <t>Parfait Très joli collier</t>
  </si>
  <si>
    <t>Parfait Je recherchais un support pour la tablette graphique 15.6" de ma fille, et ce support pc portable fait totallement bien le job !!! l'angle de positionnement est ajustable et stable, les 2 petits rebords de devant sont en metal tout comme le reste du support et sont recouvert de petits empiecements doux pour acceuillir votre pc ou tablette avec douceur et l'empecher de glisser. un organisateur de fil est a clipser à l'arriere du support il est pas des plus pratiques à mettre mais çà se fait ....et franchement pour le prix il n'y a pas à hesiter. Le poid du support est nikel car ni trop lourd ni trop leger çà fait pas camelotte du tout.....donc ras, nikel, parfait.</t>
  </si>
  <si>
    <t>Déçue Chaussures de sécurité inconfortables toujours mal aux pieds déçue</t>
  </si>
  <si>
    <t>Mieux vaut avoir 2 pieds gauches ! Reçu 2 pieds gauches</t>
  </si>
  <si>
    <t>Chaussure de sécurité Je suis très dessus de la qualité du produit une usu de la semelle rapide et le tissu du dessus ce dechi aussi et surtout aucune réponde du vendeur sur ce souci je suis un peut en colère</t>
  </si>
  <si>
    <t>un peu difficile à utiliser la forme est trop allongée du coup ce n'est pas facile à utiliser. Le produit est de bonne qualité mais ça n'a pas été concluant.</t>
  </si>
  <si>
    <t>Qualité Bose au rendez-vous Ces écouteurs sont une petite merveille, encore faut-il être amateur de la sonorité Bose, ce qui est mon cas.  Les + :  - Qualité du son. - Confort des écouteurs Stay-Ear. - Légèreté de l'ensemble. - Configuration très facile. - Décallage audio/vidéo à peine perceptible (selon moi) lors de l'utilisation pendant la lecture de fichiers vidéo.  Les - :  - La longévité de la batterie qui ne tient que +/- 5-6h. Un peu dommage. - L'impossibilité d'utilisation pendant la recharge de la batterie.</t>
  </si>
  <si>
    <t>Tres joli mais attention aux allergies Très jolie mais me font des allergies et pende car un peu lourde . Attention pour les personnes fragiles des oreilles</t>
  </si>
  <si>
    <t>Bon rapport qualité prix Ca fait presque un mois que je l utilise pour écouter de la musique et j en suis satisfait la qualité est au rdv j ai mis 4 étoile par ce qu on peut trouver mieux surtt au niveau des basses. Je l utilise rarement en kit main libre maisbj ai remarqué que mes interlocuteurs ne m entendent pas bien. Autre chose c est que en cas de déchargement on peut continuer a écouter avec le cable fournis sauf que le son n est pas du tout le même la qualité est mauvaise.</t>
  </si>
  <si>
    <t>Conforme Conforme</t>
  </si>
  <si>
    <t>Indispensable Super pour accessoiriser l'egouttoir à biberons de la même marque. Ma fille utilise les biberons MAM Anti-Colique et j'y suspend les valves Anti-Colique. Parfait</t>
  </si>
  <si>
    <t>du costaud tres bonne chaussure un peu lourde peut etre au debut pour certains , tres confortable , attention les cat ca chausse assez grand prendre 1 pointure en dessous</t>
  </si>
  <si>
    <t>Rien a dire, il est magnifique! Super contente!</t>
  </si>
  <si>
    <t>Bonne stabilité. Bonjour, Comme je le faisais avant, lire au lit, cette lampe me le permet aussi. J'ai été surpris par la très petite taille de l'adaptateur secteur. Bonne stabilité.  Satisfait de mon précédent achat, j'ai acheté de nouveau cette pour le bureau.</t>
  </si>
  <si>
    <t>Super Pile comme sur l’image</t>
  </si>
  <si>
    <t>Conforme J'ai pris ma taille habituelle et c'est parfait. Chaussures très confortables et très joli. J'ai le pied fin et en général j'ai du mal à trouver des chaussures sérrées et confortables. Mais là pour le coup c'est parfaitement adapté.</t>
  </si>
  <si>
    <t>Génial Trop contente  d'entendre crépiter  mes vieux vinyles .... Génial !</t>
  </si>
  <si>
    <t>Classe Si je dois résumer :"Elles sont sympas tes vans, j'aime bien la couleur ". Voilà tout est dit. Sinon niveau taille j'ai pris mon 41 habituel . Confortables, fidèle aux M Atwood.</t>
  </si>
  <si>
    <t>formidable quel confort !!</t>
  </si>
  <si>
    <t>Vraiment comfortable Pris en taille M pour un tour de taille 31 - 32 aucun soucis. Il est serré au niveau des mollets comme sur la photo , mais reste ample en haut vraiment super.</t>
  </si>
  <si>
    <t>Trop belles ! Produit conforme  !</t>
  </si>
  <si>
    <t>Super conforme a la photo Tres bien pour le prix,super legere a porter belle couleur tres original je prendrez les grises la prochaine fois merci</t>
  </si>
  <si>
    <t>Très bon produit Produit conforme a l'image Assez grande pour y fourrer pas mal de petites choses et confortable à porter</t>
  </si>
  <si>
    <t>Montre à l'ancienne Look rétro comme les années 80.</t>
  </si>
  <si>
    <t>Très bien Rien a dire super. Très hydratant je l' utilise pour effectuer le palper rouler sa chaaaaaauffe, efficace. Bon!! a utiliser sur le corps le soir avant de dormir de préférence.</t>
  </si>
  <si>
    <t>Déçue Au bout d une semaine, une rondelle à lacet s est détachée. Elles se déforment vite et s élargissent. La couleur du «&amp;nbsp;cuir-plastique&amp;nbsp;» n est pas la même que les lacets et la semelle, ce qui les rendent plus beige ou jaunie. La matière fait plus plastique que cuir , ce qui augmente la transpiration. Pour le prix, je ne m attendais pas à du haut de gamme mais parfois le prix ne fait pas la qualité, j ai tenté et je me suis plantée !</t>
  </si>
  <si>
    <t>Déçu Pas costaud du tout ! Peu recommandable</t>
  </si>
  <si>
    <t>Correct Soutien gorge oui mais pas de sport. Le maintien n’est pas adapté pour des mouvements de sport tels que la course, le saut, etc... Cependant bon maintien pour une utilisation hors sport. Il est confortable. Reste à voir avec le temps et les lavages.</t>
  </si>
  <si>
    <t>avis bien mais beaucoup, beaucoup, beaucoup, beaucoup, beaucoup, beaucoup, beaucoup trop cher. Prix dissuasif qui pousse à acheter des cartouches génériques.</t>
  </si>
  <si>
    <t>Polaire assez legère Taille comme prévue plutôt plus grand que plus petit, à utiliser comme un pull sous un sweat out un manteau.</t>
  </si>
  <si>
    <t>Confortables et bien taillées Je ne sais pas si ça vient des chaussures qui sont plutôt confortables, mais a ls 1ère utilisation j'ai vite senti des crampes sous les pieds...comme si la semelle forçait sur la voute plantaire. A voir à la longue!</t>
  </si>
  <si>
    <t>Très bien Très belle bague, belle qualité pour le prix ! Mais attention elle est assez épaisse et du coup dur à régler mais sinon super rapport qualité prix !</t>
  </si>
  <si>
    <t>A propos du grille pain Très joli grille pain et qui fonctionne bien. J'ai eu un soucis avec le premier .. Mais comme d'habitude le jour même où je l'ai communiqué à Amazon ils m'ont contactée et sans aucun problème m'en ont réexpédié un dans un délai de 4 jours contre le retour à leurs frais du grille pain défectueux . Je recommande ce produit . ( belle couleur rouge conforme à la photo )</t>
  </si>
  <si>
    <t>Le Top Très bon produit 👍👍👍</t>
  </si>
  <si>
    <t>Rapidité, grande efficacité, simplicité d'utilisation et silencieux ! J'ai énormément de vieux papiers à détruire, mais je ne peux pas les jeter ainsi au recyclage : la pile atteint 60cm de hauteur ! Factures EDF, eau, loyers, assurance, anciens logements, crédits, banque, etc... Je suis très conservatrice, mais là.... Bref : je suis ravie de cet achat, machine sûre, rapide et presque pas de bruit ! Les vieilles cartes de fidélité passent très vite, autant que le papier, hyper rapide. Je n'ai pas encore essayé le destructeur de CD mais je l'utiliserai. J'aurais dû en prendre un bien avant ! En 15mn j'ai rempli le bac récupérateur, j'ai bien brassé le tout et zou...au recyclage. Je n'en reviens pas de cette efficacité. Je suis très satisfaite, vraiment, et je recommande vivement cet article, même aux particuliers : il n'est pas bon de jeter des documents qui contiennent des renseignements sensibles.</t>
  </si>
  <si>
    <t>parfait Parfait pour les grand biberon vendu avec tetine 2 (ce qui est dommage d ailleurs. Bébé passe à 150 ml avant la tétine 2)</t>
  </si>
  <si>
    <t>Collier d’ambre cognac Collier d’ambre de 33cm avec fermoir  de sécurité vissé. Les perles d’ambre sont sécurisées avec entre chaque perle un noeud. Livré avec le certificat d’authenticité.</t>
  </si>
  <si>
    <t>chaussures de sécurité Ces chaussures sont confortables  pratique jolie et j'ai aucune douleur. ..dés les moments où je les ai porter.</t>
  </si>
  <si>
    <t>Bien soutenue Pratiquant le crossfit j’ai besoin d’un bon maintien pour les différents exercices j’adore ! Prenez votre taille habituelle. Il sera votre allie</t>
  </si>
  <si>
    <t>la qualité très jolie montre</t>
  </si>
  <si>
    <t>Produit Haute Gamme : 10/10 : recommandation +++ Très jolie produit : Je recherchais des écouteurs pour remplacer mes écouteurs TRANYA qui dépérissaient, anciennement achetés sur Amazone il y a 1 an et demi et je suis clairement ravis de mon achat.  Utilisant mes écouteurs principalement dans les transports et pour faire du sport ces écouteurs me paraissent très adaptés pour ce type d'utilisation.  - Lors de la réception : les écouteurs sont dans une boite très épurée. Un guide d'utilisation (en français) est fournit et les instructions sont enfantins : l'installation ne m'a pas prit plus de 2 minutes. Une petite pochette en tissu est fourni avec : très pratique pour les accrocs du rangement comme moi. - Sur le support de chargement on peut voir le pourcentage de charge ce qui permet de se rendre compte en temps réel du niveau de chargement : très pratique. - L'utilisation du tactile : Très intuitif +++ et facile d'utilisation tout est expliqué dans le guide. - Qualité sonore : EXCEPTIONNELLE ! Je suis sous le charme si vous aimez écouter la musique avec un gros volume, aimez les bonnes basses / aigüe et j'en passe ces écouteurs sont fait pour vous ! Satisfaction garanti. Je suis très agréablement surpris d'une telle qualité sonore pour un si faible coup. - Atout non négligeable : Une garantie de 24 mois = 2 ans. - Autres informations : les écouteurs clignotent en vert fluo clair lors de l'utilisation : personnellement je ne trouve pas ça choquant du tout, c'est même original et donne une valeur ajoutée au produit. Les écouteurs imprègnent bien les conduits auditifs sans sensation de gêne : assez confortable. En ce qui concerne l'étanchéité je n'ai pas pu encore l'évaluer.  En conclusion : très satisfais de mon achat : je recommande.</t>
  </si>
  <si>
    <t>Original et surprenant J'aime beaucoup ces sweat et j'en ai commandé une dizaine. très original et il y en a pour tous les goûts.</t>
  </si>
  <si>
    <t>Niquel Tres beaux resultat</t>
  </si>
  <si>
    <t>Compact et surtout pliable ce qui en fait un casque nomade isolant bien du bruit exterieur Nickel,suis enchantée de cet achat ,car le son est super clair et net et aussi casque très pratique pour écouter un film passant  sur la tablette Le petit hic est que l'on doit enlever la micro s.d.( où l'on a mis de la musique) pour passer en Bluetooth pour regarder un film (ou alors je n'ai pas bien lu la notice) L'apparaige est facile à faire</t>
  </si>
  <si>
    <t>Montre femme au top Livraison rapide. Article conforme à la description.</t>
  </si>
  <si>
    <t>"Trop trop drôle" Je cherchais un livre pour ma fille de 14 ans, et lui expliquer que les parents ne sont pas là pour mettre des barrières "pour rien". Elle était sceptique et n'en voulait pas, mais je l'ai acheté quand même. Résultat, elle a adoré ce livre qu'elle a trouvé "trop trop drôle", même s'il explique tout de même de manière amusante le rôle protecteur des parents.</t>
  </si>
  <si>
    <t>Très bonne surprise Je viens de recevoir mes écouteurs S9 de chez HETP et je suis très surpris. La packaging est digne des plus grand. La qualité de l'étuie et des écouteurs est au rendez vous. Le son est plus que convenable pour le prix et surtout les commandes tactiles réagissent très bien. Je recommande.</t>
  </si>
  <si>
    <t>bonne qualité très satisfait de cet achat. conforme à l'annonce.  bonne qualité pour le prix. je recommande vivement vu le prix  auquel j'ai payé</t>
  </si>
  <si>
    <t>Chauffe trop lentement J'ai suivi les avis positifs en commandant ce produit et finalement je le regrette : il met beaucoup de temps à chauffer correctement les aliments et les indications ne sont, je trouve, pas correcte. Moralité : il est resté dans le placard. Un achat inutile me concernant..</t>
  </si>
  <si>
    <t>Taille grande Déçu je taille du 39 et j’a Pris ma taille mais elles sont trop grande</t>
  </si>
  <si>
    <t>Aucune différence Aucune différence avec sans ... Décevant rapport qualité prix.</t>
  </si>
  <si>
    <t>Cadeau C'est un cadeau</t>
  </si>
  <si>
    <t>Fait la blague... sauf pour le téléphone portable ! Le sac est arrivé dans les délais. Le cuir est de qualité moyenne, il est déjà griffé par endroit lorsque je le déballe mais à ce tarif, c'est plus ou moins ce que j'attendais. A vide, il est relativement léger, ce qui est non négligeable. Les anses sont un peu courtes, difficile de le porter à l'épaule lorsqu'on met une veste, dommage. Etant donné la taille colossale du compartiment central, une poche plaquée supplémentaire et/ou une ou deux poches zippées en plus sur l'extérieur auraient été les bienvenues.  Le plus gros bémol : la poche plaquée supposément dédiée au téléphone portable est déformée et trop petite. j'ai un Galaxy S7, ce qui est plutôt standard comme taille de téléphone, et il n'entre pas. Je suis donc bonne pour une séance de spéléologie intra-sac à chaque fois que je veux mettre la main dessus.</t>
  </si>
  <si>
    <t>Bon rapport qualité prix. Une montre premier prix sans prétention mais d'un rapport qualité/prix correct.</t>
  </si>
  <si>
    <t>rapport qualité/prix correct Au premier essai ce ne fut pas concluant pourtant nous avions pesé l'objet, mais au bout de 10 minutes c'était à  terre, c'est pour cela que j'enlève un étoile. Nous nous sommes donc résignés à le coller sur toute la longueur de cet objet et la ça ne bouge plus 😊 espérons que cela dure. Donc rapport qualité /prix correct ;)</t>
  </si>
  <si>
    <t>Isolation efficace, son excellent Le son est à la hauteur du prix, la réduction de bruit n’est pas parfaite mais permet d’écouter à bas volume dans des endroits bruyants comme le métro. Les commandes tactiles sont pratiques. J’ai quand même deux critiques.  Premièrement, les commandes tactiles peuvent être gênantes dans certaines situations; si une capuche ou une couverture de lit touche le côté droit du casque, les commandes s’activent. De plus, elles supportent mal les grandes variations de température : passer d’un appartement chauffé à l’extérieur où il gèle va activer les commandes aléatoirement, mettre la musique en pause ou changer de morceau. Il faut redémarrer le casque dans la nouvelle température pour que le problème disparaisse. Le support Sony dit qu’ils travaillent sur une mise à jour depuis plusieurs mois.  Deuxièmement, on ne peut pas passer d’une source Bluetooth à une autre facilement, je dois déconnecter mon iPhone du casque puis le reconnecter sur mon PC.</t>
  </si>
  <si>
    <t>Supe  solide Pour ranger des mini jouets de la fille et toop</t>
  </si>
  <si>
    <t>très pratique je suis enchantée de mon agenda très pratique, car on peut voir d'un coup d'oeil toute sa semaine. par contre, les dimmensions de l'agenda sont assez grande, donc plutot utilisable dans un bureau</t>
  </si>
  <si>
    <t>Égal à la photo Cadeau</t>
  </si>
  <si>
    <t>MES CONVERSES TELLEMENT PRATIQUE DE COMMANDER UN CLASSIQUE DE LA CHAUSSURE . JE DEVAIS REMPLACER LES ANCIENNES ET EN UN CLIC  MES CONVERSES SONT CHEZ MOI 😎</t>
  </si>
  <si>
    <t>achat concluant achat très intéressant, taille S = 90 C comme indiqué dans un autre commentaire. Bel article couvrant et d'excellent soutien pour activités à fort impact. Pratiquante Running et Arts Martiaux très satisfaite . Article conseillé.</t>
  </si>
  <si>
    <t>Cadeau réussi Ma nièce les a reçus en cadeau et ne les quitte plus, la pointure est parfaite et elle les adore! Un cadeau réussi :)</t>
  </si>
  <si>
    <t>Reveil très complet Quelle belle surprise avec ce réveil et c'est fonction fourni avec cest cable notice  facile a programmer grace a l application Affichage de l'heure 12/24H  la luminosité LED Simulation du lever du soleil Simulation du coucher du soleil 7 couleur 4 programme de  réveil 7sonneries Radio FM Port USB Je recommande ce produit</t>
  </si>
  <si>
    <t>Top! Super couleur, je suis tombée amoureuse de ces vêtements de fabrication italienne. Tissu chaud et très belle couleur. Super bien!</t>
  </si>
  <si>
    <t>Génial! Très bon résultat je suis littéralement dévoré par les moustiques lorsqu’il yen a petit minuscule ou gros c’est un vrai problème depuis qu’il est branché rien à dire je n’en suis plus piqué pour preuve après un mois pendant qu’il n’y avait plus de moustiques et que j’étais tranquille jenlai retirer une nuit ! Total le lendemain 3piquures et de belles!!donc je recommande pour celles et ceux qui comme moi sont de vrai pompe à sang!!lol</t>
  </si>
  <si>
    <t>A conseiller Très utile pour apprendre à lire</t>
  </si>
  <si>
    <t>Excellent Excellent produit.. Le câble est de très bonne qualité. Il est fidèle à l'image et à la description decrite sur le site.Merci</t>
  </si>
  <si>
    <t>bon appareil Bon appareil de massage, il est puissant et facile à manier. Pour l'effet anti cellulite, je pense qu'en utilisant l'appareil régulièrement, il y aura un résultat car après 10 min de massage mes cuisses sont rouges, ce qui prouve que la circulation sanguine a été stimulée donc ma cellulite aussi !</t>
  </si>
  <si>
    <t>tres bon achat cette montre est exactement ce qu'il me fallait : un outil du quotidien. ses fonctions sont faciles d’accès et assez précises pour une personne lambda ... et en plus : elle donne l'heure !!!!</t>
  </si>
  <si>
    <t>chaussure ma petite fille à adorer</t>
  </si>
  <si>
    <t>Efficace Produit efficace</t>
  </si>
  <si>
    <t>Légères et un bon amorti Ces TBS répondent à mes attentes. Légères, très bien conçues et couleur très sympa. Une marque de qualité</t>
  </si>
  <si>
    <t>trop petit trop petit</t>
  </si>
  <si>
    <t>lourd trop lourd et gênant à la longue. dommage</t>
  </si>
  <si>
    <t>Des grésillements et aucune réponse du service client... Je n'avais jamais utilisé de micro pour mes vidéos de famille ou pour faire des interviews pour ma page facebook de blog.  Reçu en 24h avec Prime, ce micro est plug and play et permet d'améliorer notablement le son. Ce n'ai pas un micro professionnel mais nettement suffisant dans un cadre amateur.  Malheureusement après quelques utilisations les enregistrements sont devenus inaudibles en raisons de grésillements. Malgré plusieurs demandes au service clients, je n'ai eu droit qu'à des réponses par mail sans signification, sans doute pour me décourager.  Je déconseille l'achat de ce micro, pas tant pour le problème technique qui peut toujours arriver, mais pour le service client qui n'est pas sérieux pour ne pas dire malhonnête...</t>
  </si>
  <si>
    <t>Moyen Taille un peu grand ! dommage ! garder car peux servir en cas d'urgence. Sinon matière agréable et solide.</t>
  </si>
  <si>
    <t>Bon produit Bon produit pas très épais mais reste convenable pour l’an demi saison. Habituellement je porte du 40/42 en taille, j ai pris l’an taille M/L et il taille très bien.</t>
  </si>
  <si>
    <t>Parfait Pour ma canon mg3000 aucun problème</t>
  </si>
  <si>
    <t>Très joli et très grand bon cartable idéal professeur, un peu grand mais du coup permet de ranger énormément d'éléments, pc, papiers... Matière de qualité correspond à ma demande, la sangle n'est pas très élégante mais peu facilement se remplacer. Rapport qualité prix idéal</t>
  </si>
  <si>
    <t>bon produit et original conforme aux attentes, bonne qualité pour le prix , et produit bien fini. seul bémol , la taille, je conseillerai ce cibler une taille au dessus . (taille un peu petit)</t>
  </si>
  <si>
    <t>État neuf Parfait je les porte encore aujourd'hui</t>
  </si>
  <si>
    <t>Pratique pour le sport Tres bon produit</t>
  </si>
  <si>
    <t>Tres contente de mon achat Ensemble de biberons qui permet d'avoir tout ce qu'il faut lors de l'arrivée de bébé. Ils sont de bonnes qualités. Excellent rapport qualité prix comparé aux prix qu'on peut trouver que Internet ou en pharmacie</t>
  </si>
  <si>
    <t>Solide Très pratique</t>
  </si>
  <si>
    <t>Remarquable J ai acheté  ces écouteurs bluetooth car je suis professionnelle de danse. Ils sont parfait ! Le son est imbattable. Idéal pour rester dans sa bulle et danser sans être perturbé. Une fois mis au niveau de l oreilles ne bougent pas même avec les différents mouvements.</t>
  </si>
  <si>
    <t>Boucles d'oreilles en Argent 925 Clous d’Oreilles belle et discrete, offerte pour un anniversaire.</t>
  </si>
  <si>
    <t>Une histoire très sympa J'ai acheté ce livre pour ma fille de 5 ans et demi suite aux bons commentaires et nous n'avons pas été déçues par cette petite poule "rebelle" qui voulait voir la mer ;) Jolie histoire avec de "l'aventure" et même une jolie histoire d'amour ;) et le format est bien à prendre en main (pas trop grand).</t>
  </si>
  <si>
    <t>excellente produits Je suis très satisfaite du produit je le connais très bien et depuis des années un parfum d ambiance très agréable même des personnes qui ne supporte pas les parfum d intérieur disent que ça sent très bon, et la livraison très rapide.</t>
  </si>
  <si>
    <t>Premiere experience reussie Confortable et legere, bon maintien, bon amorti, donc parfait</t>
  </si>
  <si>
    <t>Bon matos Rapport qualité prix impeccable</t>
  </si>
  <si>
    <t>Cool Reçu en avance est qualité top. Je ne regrette absolument pas</t>
  </si>
  <si>
    <t>Smith La Stan . . . indémodable.</t>
  </si>
  <si>
    <t>Liquide nuk Prix panier plus. Très utile pour nettoyer les biberons et les tétines de ma fille sans utiliser de liquide vaisselle agressif . Je recommande</t>
  </si>
  <si>
    <t>Confortable et sexy Beau leggings , mise en valeur des formes. Prendre votre taille ou taille plus petite pour un effet plus serré comme sur les photos du produit Noir pas transparent qualité correcte Le L est confortable pour38/40 mais pas assez serré  Effet remonte fesses sympa / ouvre bien. Porter un string noir de préférence  Je vais essayer la combinaison moulante dans le même style.</t>
  </si>
  <si>
    <t>Trop belle Tres belle boucle d oreille ,tres bonne qualité le les porte tout les jours</t>
  </si>
  <si>
    <t>la galère à enfiler Le modèle m'est trop petit. J'ai hésité à commander la taille au dessus car il est très difficile à enfiler. Je préfère essayer de commander un modèle qui s'ouvre sur le devant. C'est dommage car l'article parait de bonne qualité, la matière maintient bien et est très douce.</t>
  </si>
  <si>
    <t>Déception J'ai acheté ce produit car j'ai en déjà acheté par le passé en boutique. Malheureusement, le soutien gorge que j'ai reçu ne correspond pas aux images qui sont données en référence.  En effet,  alors que je m'attendais à avoir 2 attaches à  l'avant, je me retrouve avec 3. De plus, derrière le sigle triaction noir et rouge ne s'y retrouve pas.  Alors pour moi cela ne correspond pas à mon attente. D'ailleurs l'image sur l'emballage est différente du soutien gorge lui même  ???? Je vais le retourner car pour moi ce n'est pas ce que j'ai commandé.</t>
  </si>
  <si>
    <t>basket confortable sans plus</t>
  </si>
  <si>
    <t>Quel fonctionne bien mais pas encore essayer Cadeau de noel</t>
  </si>
  <si>
    <t>Vrai Converse qui du coup taille trop grand Bonne qualité de cuir. Toutefois, la chaussure couine lorsqu'on marche ( À voir la tenue dans le temps ). En ce qui concerne la taille. Il faut vraiment prendre 1 taille en dessous de votre pointure habituelle. Je fais du 38 et j'ai pris un 37,5, par précaution ( j'avais peur que ce soit trop petit ). Mais, j'ai encore de la marge. Il faut réellement prendre un 37 si vous faites du 38.</t>
  </si>
  <si>
    <t>Produit qui s'adapte à tous les styles Très confortable. Ligne élégante. Entretien facile. Manque une légère pointe de style pour plus de glamour. Rien à rajouter point.</t>
  </si>
  <si>
    <t>Incomplet Biberons livres sans sucette .Contrairement à l’image sur la photo</t>
  </si>
  <si>
    <t>Bien Mon homme et charpentier il travaille beaucoup sous le vent et grasse à se ticherte sa lui change tout il et allez pas de problème à recommander san problème</t>
  </si>
  <si>
    <t>Joli bracelet avec de vrais pierres Très bon rapport qualité prix, toutefois les perles sont un peu petites  à mon goût. Très belles finitions et beaux matériaux.  Délais de livraison raisonnables. Message à l'attention des Messieurs:  ils risquent d'être trop petits pour des poignets masculins</t>
  </si>
  <si>
    <t>Chaussures confortables et jolies J'ai trouvé ces baskets très confortables. Au départ, j'avais un peu peur de la avoir prises trop grandes (selon les marques, je fais du 38 ou du 39), mais finalement, en les gardant au pied toute une journée, je n'ai eu aucun problème. Je les ai trouvées vraiment confortables et elles tenaient bien au pied. La couleur est jolie et même si je trouve les rubans un peu encombrant, cela ajoute une touche féminine.</t>
  </si>
  <si>
    <t>Super article De bonne qualité. L'outil fourni avec n'est pas super solide mais fait le job pour ajuster le bracelet à votre taille. Après 2 mois et demi d'utilisation quotidienne, le bracelet est encore en très bon état.</t>
  </si>
  <si>
    <t>Bien Bon biberon pour les nourrissons qui ont des reflux et vomissement cependant mon bébé se débrouille mieux pour téter avec des tétines plates style MAM</t>
  </si>
  <si>
    <t>Parfait Converses hautes, blanches et en toile, reçues avant la date prévue, description conforme. Commandées en 4.5 c'est-à-dire en 37. Ne pas prendre de taille ni au dessus, ni en dessous, les chaussures finiront par prendre la forme du pied quoi qu'il arrive.</t>
  </si>
  <si>
    <t>Montre Très bon produit très satisfait de la montre une grande finesse et très belle vue à l œil exelent 20 sur 20</t>
  </si>
  <si>
    <t>Réveil Lumineux au TOP J’ai reçu le Réveil Effet Lumineux 2019 de chez FITFORT la semaine dernière et je l’adore déjà !! Réception du colis dans les temps. Même si le carton était complétement déchiré, le réveil lui était en vie. 1er point positif : il est facile à régler (notice en français / Boutons de réglage accessibles) en 15 mn il est prêt à l’emploi ! 2nd point positif : il est esthétique. Petite touche futuriste sur ma table de chevet. 3éme point positif : Je l’ai testé comme lampe pour lire le soir et c’est parfait! Mon mari ne me demande plus d’éteindre pour qu’il puisse dormir ! 4éme point positif : J'ai testé la simulation de lever du jour, 10 min avant l'heure du réveil et c’est TOP !  Se réveiller par une lumière progressive c’est vraiment agréable (je n’ai même pas besoin du cui-cui des oiseaux). Il me semble que je suis moins fatiguée et j’ai plus d’entrain. Pourvu que ça dure !! 5éme point positif : Pouvoir régler une heure de réveil pour le Week-end et la semaine ou tout arrêter c’est bien pratique. Désolée mais je n’ai pas testé les autres fonctionnalités. Même si je l’utilise que depuis 1 semaine, il est devenu un objet indispensable.  Pourquoi ne l’ai-je pas acheté plus tôt ? (Surtout à ce prix, il faut tester)</t>
  </si>
  <si>
    <t>La contenance importante. Bonne marque, un peu lourd comme bouilloire, attention au calcaire au bout de 5 jours ils s'étaient déposés au fond. Mettre du vinaigre de vin blanc, attendre une vingtaine de minutes, et rincer.</t>
  </si>
  <si>
    <t>très pratique la personne à qui je viens de l'offrir est vraiment ravie, cette bouilloire est petite, impeccable pour une personne qui boit le thé souvent.</t>
  </si>
  <si>
    <t>cartouches d'excellentes qualités Au début j'avais un doute pour utiliser ces cartouches sur mon imprimante qui est neuve et j'ai donc remplacer lorqu'elle étaient vides les cartouches origines CANON. Je dois que les photos sont superbes au niveau couleur et la protection des cartouches avant de le mettre dans l'imprimante est aussi bien que les CANON d'origine. J'ai fait une autre commande de ces cartouches.</t>
  </si>
  <si>
    <t>Très satisfaite de mon achat Très belle très légère j'aime bien livraison rapide merci Amazon juste je fais de 39 j'ai pris 40 je conseille ce produit j'ai acheté pour ma fille aussi il fait 24 jai pris en 25 c'est pile poil</t>
  </si>
  <si>
    <t>L'incontournable du massage C'est LE produit de massage de référence Il sent bon, en se frottant les mains avec, l'huile s'échauffe pour un massage plus décontractant.  Bref: c'est un gros contenant et c'est bien à voir chez soi</t>
  </si>
  <si>
    <t>Excellent casque neutre Je l'utilise tous les jours pour aller au travail, il est très confortable. Depuis plus d'un an que je l'ai acheté, il ne montre aucune trace d'usure. Le câble est de très bonne qualité, celui de mon ancien Beyer Dynamic P51 ne durait que 1 an et n'était pas remplaçable.  Côté son il est top, un son neutre où les basses ne marquent pas. Il n'a rien à envier à mon casque studio que j'utilise à la maison, le SHURE SRH840.  Par contre il n'isole pas de l'extérieur et il est parfait pour les petites tête. Je vous le conseille vivement, je ne peux plus m'en passer !</t>
  </si>
  <si>
    <t>Bon qualité prix Qualité prix très bien par contre je l'ai pris en M car ma fille qui fait du S voulait un effet loose mais du coup sa fait entre deux (S-M)donc si vous voulez plus loose je vous conseille de prendre L. La photo est mauvaise qualité désolée. Ma fille mesure 1m65 afin de vous donner une idée.</t>
  </si>
  <si>
    <t>Tres satisfait Tee shirt de très bonne qualité, tres bien pour le sport, ou pour sortir, taille bien et le modèle est très jolie, je recommande</t>
  </si>
  <si>
    <t>Parfait pour offrir Parfait pour offrir et gain de place !</t>
  </si>
  <si>
    <t>Manque de précision ?? Je n'avais pas eu de soucis de fonctionnement jusqu'à présent, mais depuis peu, je pense qu'il fonctionne mal. Je veux bien accepter un écart de 1 °C ou 2 °C par rapport à la météo, mais là, un écart de 9 °C, c'est beaucoup trop. Peut-être que je l'ai mal placé ? Pourtant, le module extérieur est majoritairement à l'ombre (photo) et situé à environ 5 mètre du module intérieur. Il n'y a que moi qui a ce problème ?</t>
  </si>
  <si>
    <t>NE FONCTIONNE PLUS DU TOUT ! A FUIR Après 2 mois d'utilisation, ne fonctionne plus du tout. Obsolescence programmée ? Ca fait cher le produit. Je vais en acheter un ailleurs. Si vous avez des recommandations, je suis preneur. Merci à vous !</t>
  </si>
  <si>
    <t>Pas de tee-shirts Bonsoir je viens de recevoir ma commande , à ma grande surprise il n y avais rien à l'interieur du carton ! Cela est intolérable , j espère que vous trouverez une solution à mon probleme . Cordialement</t>
  </si>
  <si>
    <t>Un peu petit Beau  bijou un peu petit pour bracelet pandora.Bien brillant,plus grand aurait été mieux.Se perd parmi les autres charms du bracelet qui restent plus visibles.</t>
  </si>
  <si>
    <t>Cartouche d'encre Les cartouches sont bien , le problème c'est le prix que je trouve exagéré ,quand on connait le prix de l'imprimante à elle seule ,il y a de quoi se poser des questions. Néanmoins ,l'offre proposée ici est intéressante .</t>
  </si>
  <si>
    <t>le confort pour le déroulé du pas ,lors de la marche .</t>
  </si>
  <si>
    <t>jolies boucles d'oreilles une très jolie paire de boucles d'oreilles, bel éclat des pierres, dommage que le métal soit très doré, de ce fait donne vraiment l'impression d'un joli bijou fantaisie et pas d'un "vrai bijou", mais le rapport qualité/prix vaut vraiment la peine de se faire plaisir, je ne regrette absolument pas mon achat</t>
  </si>
  <si>
    <t>Bien mais cher Bon produit mais cher, attention, les boîtes sont vendus à l'unité !!</t>
  </si>
  <si>
    <t>Parfaitement parfait !! Montre en bois, parfait un peu plus grosse que prévu mais fait largement l'affaire je recommande sans problème la montre est légère</t>
  </si>
  <si>
    <t>Chaussure de bonne qualité à prix mini Les chaussures sont de bonne qualité et confortable. Elles amortissent bien les chocs et tiennent bien les pieds. Vous n'avez rien à perdre à acheter ces chaussures en raison du prix (33€) et vous serez même surpris ! A recommander.</t>
  </si>
  <si>
    <t>tres bon produit Colis livré en un jour. Très joli petit emballage, joli design. Beaucoup de choix de senteurs. Tous les soirs, je change de senteur dans mon diffuseur. 5 gouttes à peine suffisent à diffuser une belle odeur dans la maison pendant plusieurs heures. Je recommande vivement ce produit. Rapport qualité/prix imbattable.</t>
  </si>
  <si>
    <t>Comfortable et pas cher pour le boulot à la maison Je fais 1,80m et 100Kg, je travaille avec des chaises assez haut-de-gamme dans le monde informatique depuis plus de 20 ans, ceci pour vous laisser un repère. La chaise est extrêmement comfortable et fait bien son travail. Le dos est bien soutenu. La souplesse et la rigidité de l'ensemble ne fait pas l'équivalent d'une chaise pro mais s'en rapproche et permet de travailler sans souci de longues heures. Le revêtement comme le reste est très "plastique" et peut vous gêner si vous êtes à la recherche de qualité au niveau matériaux. Le montage du dossier est le plus difficile, et pour le réussir seul il suffit de ne rien serrer avant d'avoir mis toutes les vis en place. Les réels plus sont les accoudoirs escamotables et le comfort d'utilisation qui restent très très au dessus du prix demandé. Bons achats à tous.</t>
  </si>
  <si>
    <t>Très beau Le collier est arrivé dans les temps, très beau, dans un bel écrin. Je suis ravie.</t>
  </si>
  <si>
    <t>Très bien Petit, joli et pratique</t>
  </si>
  <si>
    <t>Trousse Très bon produit, de bonne qualité. Assez grande on peut y mettre beaucoup d’affaires.</t>
  </si>
  <si>
    <t>bon produit pour le prix !! Pour le prix franchement rien à redire pour le moment, ça a l'aire plutôt solide, les touche souple sont agréable a utiliser, les potars ne font aucun bruit parasite. OK ce n'est pas un produit pour les "pro", mais moi qui anime 15 soirée par ans et ui ne suis pas un fan du scratch, elle me conviens parfaitement. Le programme fourni avec fonctionne correctement. A noter que pour l'utilisé avec virtual DJ il faut payer presque 100 $ !!  Bref je recommande à tous ceux qui veulent mixer simplement a petit prix !!</t>
  </si>
  <si>
    <t>top cadeau</t>
  </si>
  <si>
    <t>A suivre Premier essai dans 3 jours</t>
  </si>
  <si>
    <t>RAS. RAS.</t>
  </si>
  <si>
    <t>Ok Niveau qualite prix, imbattable. Elle fait son travail...</t>
  </si>
  <si>
    <t>Nettoyage parfait.odeur superbe L'odeur est juste superbe.ca sent super bon.ça laisse l'odeur dans toute la maison.c'est très agréable.et elle nettoie bien les vetements.impeccable</t>
  </si>
  <si>
    <t>LA PAIX DES MENAGES d'abord un grand merci à :Anthony, Moloko,Alexia,Fafaletek et Patrick qui ont répondu à ma question : grâce à cette petite communauté Amazon j'ai acheté sans crainte ...et en offre reconditionnée ! il ne manquait que l'emballage, abimé. résultat : en titre ! la paix des ménages ! chacun son casque ! je garde "mon" 770 pour "mon" pc, il garde "son" 990 pour "sa" chaine hifi ..et chacun est satisfait selon ses besoins; les caractéristiques répondent tout à fait à ce qui m'a été signalé , je n'ai qu'à ajouter que c'est un casque ouvert pour le confort mais qu'il ne gêne pas du tout l'entourage , la scène est plus ample que sur le 770 : il convient mieux pour la musique symphonique par ex.Et le rapport qualité/prix est très satisfaisant; maintenant, un casque audio, ça dépend aussi des oreilles qu'on met dedans , c'pas?</t>
  </si>
  <si>
    <t>Parfait Je n'achète que ce soutien-gorge de sport, il soutient bien, de bonne qualité et agréable à porter, n'écrase pas la poitrine.</t>
  </si>
  <si>
    <t>Très bon produit Très beaux chaussons et pratiques car grace à la hauteur de semelle si l'on doit se rendre à l'extérieur occasionnellement par temps humide on n'a pas les pieds mouillés. La taille correspondant bien à celle commandée, bien sûr le cuir se détend un peu et c'est plus facilement enfilable après plusieurs jours.</t>
  </si>
  <si>
    <t>parfait ce cirage est de la bonne couleur. c'est à dire violet foncé qui correspond à la couleur des chaussures achetées ultérieurement.</t>
  </si>
  <si>
    <t>Boîte sale et eclater Le bijou est nickel franchement bien, mais là boîte est totalement éclater, sale pleins de trace de graisse mécanique et abîmer. Je ne le recommande pas pour un cadeau.</t>
  </si>
  <si>
    <t>Très déçu Aucun guide des tailles pour tous les articles Panzeri vendu par cette société. Du coup, le modèle que j'ai choisi était trop petit. Donc retour à mes frais de l'article et au bout d'une semaine toujours aucun remboursement.  En plus l'expédition a été assez longue. Ce n'est pas un vendeur que je pourrai recommander.</t>
  </si>
  <si>
    <t>Inutilisable Ce câble est simplement inutilisable. Il n'est pas du tout blindé et rien que le fait de le déplacer provoque des interférences horrible.</t>
  </si>
  <si>
    <t>Trop long mais agréable à porter Agréable à porter car très doux dommage qu'il soit un peu trop long arrive presque à mi cuisse</t>
  </si>
  <si>
    <t>Mitigé Super niveau grumeaux problème réglé mais par contre très chiant le fait que ça se dévissé tout le temps c est pas de la grande qualité on va dire il faut qu il travaille dessus il vaudrait mieux avoir juste l embout anti grumeaux et qu il tienne plutôt que 2 qui se devissent donc patience mais ça vaut le coup de ne plus voir bebe pleurer car ça ne passe pas dans la tetine mais bien se laver les mains car pas top de devoir recup l'embout dans le bib</t>
  </si>
  <si>
    <t>Bonne qualité. Sans cela les couches lavable ne seraient pas si pratique. Je les utilise depuis 2010 et mes 3 filles ont été en couche lavable. N'oubliez pas que ces feuilles peuvent se laver en cas de pipi uniquement. Elles sont adaptés aux premier mois de bébé, ensuite vous pouvez passer aux feuilles moins épaisses.</t>
  </si>
  <si>
    <t>Pas mal Honnêtement c'est clair elle est canon, pr le prix c'est pas une marque donc elle a tout ce qu'il faut, je mettrais comme bcp de commentaires un bémol pr le lien qui sert à fermer.... C'est galère à fermer.</t>
  </si>
  <si>
    <t>rapport qualité prix au top ! Achetée en beige clair pendant les soldes, donc prix imbatable, et les puma sont super confortable. Reçues rapidement et bien emballées.</t>
  </si>
  <si>
    <t>BIEN Je recommande cette article. Correspond a l'annonce. Agréable au touché. Beau. Rien d'autre a signaler. Très bonne journée à vous.</t>
  </si>
  <si>
    <t>Produit haut de gamme J'ai acheté cette calculatrice graphique pour mon fils, qui entre au lycée. C'est celle qui est recommandée par l'éducation nationale, et on le comprend. Véritable ordinateur, cette calculatrice suivra mon fils jusqu'au bac, et même ensuite, en fonction des études qu'il choisira. C'est un bon rapport qualité/prix, rien à dire.</t>
  </si>
  <si>
    <t>Genial！ je suis très satisfait de ces écouteurs avec son design intra-auriculaire. Ces écouteurs sont exceptionnels pour le prix！</t>
  </si>
  <si>
    <t>Très agréable J'ai acheté cet appareil de massage pour de petites douleurs aux cervicales, et j'avoue que c'est très agréable. Déjà sa forme permet de bien le caler contre le dossier du fauteuil. Ensuite, une fois en marche, il produit un massage ferme mais tout en douceur. La chaleur qu'il diffuse est très douce, elle ne brûle pas. On peut l'utiliser avec ou sans l'émission de chaleur, directement en contact avec la peau, ou à travers un vêtement (à ce moment, la chaleur n'est pas ressentie, mais le massage est très doux).  Une sangle se trouve derrière le coussin de massage et ainsi il peut être fixé en haut d'un dossier de chaise pour le massage de la nuque ou sur l'appuie tête de la voiture. A ce sujet, une prise allume cigare est fournie pour l'alimenter quand on est en voiture. Pratiquant le running assez intensivement, je l'ai utilisé pour me masser les cuisses après un trail assez éprouvant, et je dois dire que ça m'a facilité la récupération. Pour moi, c'est un bon produit !</t>
  </si>
  <si>
    <t>une commande pour une amie mon amie était ravie Elle s'est présentée à la maison avec et  m'a bien montré à quel point elle était à l'aise avec!</t>
  </si>
  <si>
    <t>Très bien . Reçu dans les temps . Ces chaussettes correspondes a ce que j'attendais . Je les utilise pour la marche et le vélo , elle sont confortable et très solide . Je vous conseil de les laver au moins une foie avant de les enfiler , sinon elles seront un peu raide . Donc , pas de mauvaise surprises , s'est du Puma . Je vous les recommandes , surtout pour le prix qu'elle sont vendu ici . Jean 34 .</t>
  </si>
  <si>
    <t>Sobriété et finesse pour ce bijoux contemporain Très jolie bracelet «&amp;nbsp;infini&amp;nbsp;» . Strass sur le signe Infini donnant toute sa finesse à ce bijoux. Bracelet en fil facilement réglable. Succès garantie si vous offrez ce bijoux.</t>
  </si>
  <si>
    <t>A l'aise Aussi bien que les bleus et très solide j'ai alterné une rouge et  une bleu trop la classe Merci amazon</t>
  </si>
  <si>
    <t>Decouverte Parfait</t>
  </si>
  <si>
    <t>Un réveil en douceur (un peu trop), parfait pour des enfants de verre et dispose de très bonnes finitions. Aucun souci de ce côté-là. Idem pour la partie technique. La lumière est douce, les boutons sont faciles d’accès et agréables à utiliser. L’heure est bien lisible sans produire trop de lumière (on peut de toute façon régler le contraste), ce qui est pratique pour ceux qui n’aiment pas être dérangés par des sources lumineuses quand ils dorment. La radio marche bien aussi.  Avantages: +le mode réveil doux qui augmente la lumière et le son tout doucement. Intégralement  paramétrable et bien conçu +La veilleuse réglable en intensité +Le mode veilleuse qui éteint la lumière doucement +Les sonneries et bruits d’ambiance variés et agréables à l’oreille Inconvénients -Mode réveil doux un petit peu compliqué à configurer -Mode réveil doux ne réveillera pas les gros dormeurs -La couverture en verre et son poids font qu’il ne résistera pas, à mon avis,  à une chute  Bref, un réveil de très bonne qualité. Je l’utilise dans une chambre d’enfant pour le côté veilleuse et le réveil doux pendant les vacances (pour un réveil fiable, il vaut mieux utiliser la fonction réveil classique)</t>
  </si>
  <si>
    <t>Pour un peu plus de 14€ tb Au mieux cet envoie.</t>
  </si>
  <si>
    <t>beau et pratique Très bon produit très pratique. Conforme au descriptif et en plus une fermeture éclair permet d'elargirr la profondeur du sac</t>
  </si>
  <si>
    <t>Chaussons chauds avec semelle isolante A porter avec des chaussettes... sinon, très bien !! très chauds !</t>
  </si>
  <si>
    <t>chaussures de gymnastique 46 chaussures qui correspond au critère de la haute école au point de vue semelle , correspond à la demande du professeur , belle qualité , livraison rapide , merci</t>
  </si>
  <si>
    <t>bon produit trés pratique , compacte , ideale . avec un filtre anti tartre bien vu ! j'en ai meme acheté un pour ma mere qui est aussi trés satisfaite !</t>
  </si>
  <si>
    <t>bien bon rapport qualité prix fait sont job pour un produit d entretien l'odeur est agréable et la  durée s y trouve</t>
  </si>
  <si>
    <t>Retourné. Je n'est pas pu utiliser ce micro car ma chaîne n emplifiait pas assez le son . J est étais attiré par le prix mais retourné</t>
  </si>
  <si>
    <t>Horrible et toxique ? Qu'attendre d'un produit à 0.88€ livré de Chine ? Bah rien, matière horrible (plastique), gratte, très fin on voit à travers... Je n'imagine pas après quelques lavages l'état de ce truc, mais il n'ira pas jusque là, direct poubelle !  Je me questionne même au niveau de la santé si c'est bien légal, vu l'odeur de produit chimique.  Modèle commandé : noir uni.</t>
  </si>
  <si>
    <t>Problème de fermeture du bracelet j'ai commander 2 bracelets, un cadeau qui a fait très plaisir, dommage il y en a un qui s'ouvre régulièrement et elle ne le porte plus car elle risque de perdre les perles,</t>
  </si>
  <si>
    <t>très moyen pas assez de luminosité, alarme inaudible</t>
  </si>
  <si>
    <t>Parfait Parfait.</t>
  </si>
  <si>
    <t>Bien Bien mais au bout de 3 mois elle ont jaunis sur tout le pourtour de la semelle ...</t>
  </si>
  <si>
    <t>Bien mais compliqué Bien pour un relais aux massages traditionnel Mais pour masser les épaules il faut se caler avec des coussins et c'est assez compliqué</t>
  </si>
  <si>
    <t>Taille plutôt petit Bon rapport qualité prix</t>
  </si>
  <si>
    <t>bonne capacité très bonne capacité et extrêmement facile de défaire la poubelle à chaque fois. on l'utilise quotidiennement et il est toujours en excellent état  depuis 1 an</t>
  </si>
  <si>
    <t>Bien enclencher les cartouches..... Il y a un problème reçurent avec ces cartouches: elles ne fonctionnent jamais au premier essai!. Alors pas de panique : ouvrez le cran de blocage de chaque cartouche et réenclenchez le d un coup sec et ça marchera!!</t>
  </si>
  <si>
    <t>Je peux leur donner cinq étoiles. Pour moi, trouver des écouteurs que j'aime bien n'est pas facile. Mais ici, j'aime leur fonctionnalité et je suis très satisfait de leur apparence simple. J'ai recommandé à plusieurs amis de les acheter.</t>
  </si>
  <si>
    <t>la coupe et le tissu bonne qualité ......j aime bien</t>
  </si>
  <si>
    <t>Très bien pour voyager Très bon rapport qualité prix,pou voyager impec...aucun regret d’achat Merci amazon</t>
  </si>
  <si>
    <t>Couette chauffante Quel plaisir de pouvoir de mettre sous une couette bien chaude lorsqu'on vient de l'extérieur et qu'il fait très froid. Pour ma part je l'ai utilisée une fois et c'est ma compagne qui me l'a réquisitionnée parce quelle est très frileuse. La couette est très douce c'est donc très agréable de s'y blottir. Je recommande.</t>
  </si>
  <si>
    <t>Très bonne qualité Livré très rapidement, les chaussette sont de très bonne qualité et correspond à la description! Je recommande.</t>
  </si>
  <si>
    <t>Des CONVERSE qui son de RETOUR. J'ai DÉJÀ ACHETER ses CONVERSES il y a pas si longtemps que ça ET je me suis dit, OK, j'en reprend un 2ème et même pointures et TOUT est c'est que du beau...heur.  LOL. JE RECOMMANDE ENCORE et TOUJOURS.</t>
  </si>
  <si>
    <t>Très  agréable a porter Montre année 80/90 Légère idéal pour porter tous les jours mais surtout pour les porteurs de chemise a manche longue car comme elle est extra plate elle n'accroche pas à la Manchette De la chemise</t>
  </si>
  <si>
    <t>Sac poubelle qui correspond parfaitement à mes attentes à un prix plus que correct dans le cadre d'un "panier groupé". RAS bon produit.</t>
  </si>
  <si>
    <t>Collier Disney Mickey Très mignon pour faire un cadeau !</t>
  </si>
  <si>
    <t>Tip top Qualité prix imbatable, 8euros livré !!!</t>
  </si>
  <si>
    <t>Au top Au top à fait plaisir à la future maman! Un style assez ancien mais chic dans sa boîte bijou et en prime avec deux ficelles de taille différentes... si future maman est grande ou pas.. c’est très sympa je recommande !</t>
  </si>
  <si>
    <t>Bon écouteurs je recommande Pour écouter de la musique ou faire son sport c'est nickel je m'attendais pas as une aussi bonne qualité je recommande</t>
  </si>
  <si>
    <t>Bon feutres Ces feutres sont utiles pour le BAC, dessins ou juste cours. Je recommande vivement !  Si mon commentaire a été utile vous pouvez le marquer ça m'encouragerais à écrire des commentaires pour vous :)</t>
  </si>
  <si>
    <t>Produit défectueux, 3 fois d'affilée J'ai acheté ce produit une première fois car celui-ci m'avait beaucoup été recommandé. Je n'ai pas été déçu, il a très bien fonctionné pendant environ un an. Après ça, celui-ci n'a plus du tout fonctionné. J'ai donc fait marcher la garantie, Amazon m'en a donc envoyé un autre. Au déballage, celui-ci était également défectueux, produisant un son inaudible. Pensant à un coup de malchance, j'ai à nouveau fait marcher la garantie, rebelote, produit défectueux. Je me suis donc orienté vers un NT-USB de chez RODE.</t>
  </si>
  <si>
    <t>Attention arnaque promo Je devais bénéficier d'une promotion hp de 15€ pour l'achat de plusieurs cartouche (promo toujours affichée) et elle m'a été refusée car on doit faire la demande sous 1 mois (même si la promo est valable jusqu'au 31-10-17). Cette condition est vraiment cachée dans les conditions générales accessible sur le site hp et donc nullement accessible à l'achat (le lien sur les conditions de l'offre menant à un conseil pour imprimer sa facture amazon ?!). Impossible d'obtenir réparation malgré appels au sav Amazon. Je suis très déçue, moi qui avais toujours apprécié le service Amazon...</t>
  </si>
  <si>
    <t>Vu le bignou, et le prix... Parfait Ca répond à mes besoins actuels. A 40€ je referais le même choix. Le tout semble de bonne qualité bien que le crossfader semble un peu léger.</t>
  </si>
  <si>
    <t>Pas si mal La qualité est bonne, et le produit aussi, pour pa brassiere , elle est bien pour tout les jours mais pas pour faire du sport</t>
  </si>
  <si>
    <t>tussus trop epais des chaussures qui me plaisent beaucoup mais un tissus tres dur et qui manque de souplesse ce qui cree une douleur au pieds j ai du achete des elargisseurs en bois et pour l instant j attends le resultat mais j ai deja eu des amploules!</t>
  </si>
  <si>
    <t>Très bien Très bien ne regrette pas mon achat</t>
  </si>
  <si>
    <t>très bien reçu dans les temps, conforme aux attentes</t>
  </si>
  <si>
    <t>la taille et la qualité du tissu. Très bon produit bonne qualités .</t>
  </si>
  <si>
    <t>idee cadeau jolie chaine argent de bonne qualité</t>
  </si>
  <si>
    <t>Une qualité de micro professionnel accessible à tous La qualité du micro et professionnel le son est super aucun bruit autour ça enregistre exactement ce qu'il y a en face de vous comme quand vous l'avez écouté c'est franchement le micro accessible à tous pour une qualité professionnelle à la maison</t>
  </si>
  <si>
    <t>Très bien Parfait pour l apprentissage du pot Les feuilles ne sont pas en carton mais reste rigide pour un tout petit</t>
  </si>
  <si>
    <t>Très bien Conforme aux images, il a l'air solide.  Il est assez grand pour y rentrer un iPad pour ceux que ça intéresse.</t>
  </si>
  <si>
    <t>Excelente Excelente</t>
  </si>
  <si>
    <t>Chose a avoir pour aerographe Nickel pur dillution aerographe..</t>
  </si>
  <si>
    <t>très pratique super produit, marche très bien, une cable USB fournie.</t>
  </si>
  <si>
    <t>Très bon rapport qualité/prix ! Me satisfait beaucoup ! Pas chère, résistant et assez grand ! Je l'utilise sur un Samson C0U1.  De plus, il réduit un peu la résonance !</t>
  </si>
  <si>
    <t>ma platine revi Après une longue période sans fonctionner,la courroie de ma platine c'est désagrégée .Cette courroie m'a permis de faire revivre cette chose sur laquelle je peu réécouter ma collection de vinyle.Quel plaisir</t>
  </si>
  <si>
    <t>compacte idéal pour ranger les bureaux , bon rapport qualité-prix</t>
  </si>
  <si>
    <t>Compact, compatible, un bon son Acheté pour mon fils, une fois connecté, il est venu me voir pour me dire : c'est génial, quel bon son. Compact, ne tient pas de place. Compatible avec presque n'importe quel appareil, mon fils à un honor et ça fonctionne parfaitement. Il les utilise pour faire du VTT, il est ravi. Je recommande vraiment.</t>
  </si>
  <si>
    <t>Magnifique Très jolie, reçu très bien et dans le temps marqué.</t>
  </si>
  <si>
    <t>Bon casque rapport qualité prix casque sans fil bluetooth 4.1 petit ,léger prend en charge un micro sd jusqu a 32 GO une très bonne qualité de son ,facile transporter il est pliable et léger compatible IOS ET ANDROID ce recharge en 2 heures et la batterie tiens de 6 a 8 heures selon l usage musique ou conversation téléphonique  Très bon rapport qualité prix. Je recommande pour ceux qui veulent un casque Bluetooth de bonne qualité pas très cher.</t>
  </si>
  <si>
    <t>Bom Bom</t>
  </si>
  <si>
    <t>bon produit Je m'y attendais pas. Legging a dépassé mes atteintes. Il est bien taillé, montre très belles formes. Les petites poches sont pratiques. La matière est douce, agréable à porter. La taille est haute est, cache bien le ventre. Il est un peu longue pour moi, mais ça ne me dérange pas, car legging lui-même est bien assis sur le cors. Satisfaite de la qualité de ce produit, je recommande.</t>
  </si>
  <si>
    <t>les temps et les crocs sont  durs les  crocs  ne  sont  plus  ce  qu'ils  étaient ...celles  la  sont  dures , peu  confortables .Les  crocs  c'est  un look  peut être  , mais  surtout  un confort , non ?</t>
  </si>
  <si>
    <t>UTILE Avec seulement une dizaine d'utilisations l'appareil ne fonctionne plus, manette bloquée, recharge de gaz vidée, et bruit d'un objet dans la tête de commande ? Dommage car utile pour réduire les plastiques de bouteilles d'eau gazeuse. Retour de l'appareil !</t>
  </si>
  <si>
    <t>Pourri à ne pas acheter ! Pourri elles sont déjà décollées sur le côté, pour le prix c'est la honte !!! Je ne recommande pas du tout.</t>
  </si>
  <si>
    <t>TRES DIFICILE A EFFACER LE ROUGE Le rouge s'efface très mal, pas idéal pour un tableau blanc. Surtout ne pas laisser l'écriture plus d'une heure ou deux, il faut frotter très fort pour effacer le rouge.</t>
  </si>
  <si>
    <t>Déçu par le produit mais bon vendeur Ayant une tête de petite taille j'avais du mal a bien placer le casque pour avoir une écoute correcte. De plus, le son est entendu par tous le monde dans un open space, ne correspond pas à mes attentes. Le vendeur est cependant très bon, il m'a contacté par la suite pour trouver une solution, respect des délais, très aimable etc. Je recommande</t>
  </si>
  <si>
    <t>Je recommande qualité prix J'adore ces bic's, c'est un véritable plaisir d'écrire avec, cela faisait longtemps que je cherchais une telle qualité. je ne suis pas déçue, de plus il efface rapidement sans laisser de trace nos petites erreurs et se recharges facilement. Je ne peux que recommander.</t>
  </si>
  <si>
    <t>Superbes et de belle qualité Magnifiques boucles d'oreilles féminine et élégante et sa couleur bleue et exactement comme la photo</t>
  </si>
  <si>
    <t>Top pour le sport Très belle montre, par contre l'éclairage est moyen c'est pour ça que j'enlève une étoile.  Elle est très robuste, c'est du bon matos G Schock c'est très solide ;o)  Dernier point elle est prise de tête à régler car trop de fonction mais ça c'est annexe.</t>
  </si>
  <si>
    <t>Parfait J'avais hésité avec un autre micro de meme gamme et je suis ravie d'avoir choisi celui-là. Le timbre est chaleureux et surtout le micro est très solide, je l'ai fait tombé et il est resté impeccable ouf, belle qualité.</t>
  </si>
  <si>
    <t>Cadeau On s'est bien amusés avec ce microphone. Super cadeau !</t>
  </si>
  <si>
    <t>Excellent produit Cérémonie de mariage</t>
  </si>
  <si>
    <t>Belle montre qui fonctionne toute seule La livraison est rapide et l'emballage simple. A l'intérieur une montre sobre qui trouve l'heure exacte toute seule. Le métal du bracelet et la finition du cadran donnent à la montre un sentiment de qualité. Même si les touches sont un peu dures, les fonctions sont assez simples à paramètrer. En main depuis quelques jours seulement, elle me plait beaucoup.</t>
  </si>
  <si>
    <t>Je recommande a 100% Prix très convenable pour la qualité des écouteurs reçu. Beau design, ne fait pas mal au oreilles. Le plus important- Je l'est est fait tomber plusieurs fois dans l'eau et il non jamais rien eu. Je recommande!</t>
  </si>
  <si>
    <t>Bien pratique ! J'ai pris cette montre dans le cadre d'un voyage sac à dos de plusieurs mois, sans regret !  Pour : + peu chère, s'il lui arrive un "accident" ce n'est pas dramatique + discrète (idéale pour de petits poignets ! contrairement aux montres baromètres...) + durée de vie au sens large (batterie et résistance du boîtier) + indémodable  (... ou démodé depuis toujours ! c'est selon :-))  Neutre ou méfiant : ~ le bracelet tient toujours, mais effectivement (pour rebondir sur d'autres commentaires) c'est souvent le premier point qui lâche sur ce type de montre ! ~ l'alarme est très (trop) discrète</t>
  </si>
  <si>
    <t>Nikel Super qualité prix</t>
  </si>
  <si>
    <t>bon article bon produit très bien j’espère que  sa marche tripe protection</t>
  </si>
  <si>
    <t>Parfait pour devenir le prochain Messy Le produit est conforme et de bonne qualité. la laine est douce et suffisamment épaisse. Je recommande ce produit sans hésiter.</t>
  </si>
  <si>
    <t>Claquettes très confortables ! Elles sont très agréables, je ne les quitte plus, elle sons constamment à mes pieds !</t>
  </si>
  <si>
    <t>Fini les coliques Diminue de quantité les coliques ! Par contre gros débit pour bebe de 2 mois malgré tout.</t>
  </si>
  <si>
    <t>satisfait mais un regret bonne cartouche mais son prix élevé permet à Canon de compenser le prix modique de ses imprimantes</t>
  </si>
  <si>
    <t>parfait De bonne qualité, envoie rapide et bien emballé. Je recommande cet achat, pour un petit sac contenant juste ce qu'il faut.</t>
  </si>
  <si>
    <t>Bon produit. Reçu dans les délais et conforme à mes attentes.</t>
  </si>
  <si>
    <t>cool Jolie montre bien empaquetée et identique à la photo, mais son défaut est que les chiffres ne vont que jusqu'aux deux chiffres des millions. (Anastase, 10 ans)</t>
  </si>
  <si>
    <t>Simple et naturel La pédiatre de notre grand a toujours été contre les stérilisateurs car les pastilles de l'époque pouvaient apporter une dose d agents extérieurs. Ici pas de soucis, la stérilisation est faite par la vapeur. L interieur des biberons et tétines sera stérilisé efficacement et ils  seront prêt à être remplis de nouveau. Imposant mais remplace 2 appareils . On adore la simplicité et la sécurité du système.</t>
  </si>
  <si>
    <t>Défauts Cela fait 9 mois que j'ai cette montre, et vraiment, elle est bien. Ou en tout cas elle est belle, il n'y a rien à redire sur son apparence. En revanche... les aiguilles sont quasiment invisibles dans le noir alors qu'étant phosphorescentes, elles devraient briller. Ensuite, le cuir à l’intérieur du poignet commence à s'ouvrir. Et surtout, le gros point faible, c'est l'odeur. N’espérez plus reposez votre tête dans votre main, l'odeur vous réveillera tout de suite...  Je l'ai lavé à la brosse et cirée, rien n'y fait, l'odeur finit toujours par revenir. J'ai déjà porté des montres en cuir mais c'est la première à me faire ça.</t>
  </si>
  <si>
    <t>Appareil en panne totale dès la première semaine! A fuir!!! Premier achat de cet appareil en octobre 2018 qui tombe en panne 6 mois plus tard (impossible de le démarrer). Retour sous garantie à Amazon qui reconnait le problème t propose l'envoi d'un appareil neuf. J'accepte cette proposition satisfaisante et reçoit ce nouvel appareil. Hélas il présente le même défaut après une semaine de fonctionnement erratique. J'aurais dû accepter le remboursement également proposé par Amazon. J'ai retourné ce second exemplaire et attend une offre d'Amazon. Modèle à fuir!!!</t>
  </si>
  <si>
    <t>Bof Hum Scotch 3M? remarquez, ça a peut être baissé en qualité 3M, au point que ça se déchire juste en le déroulant. A moins qu'il n'y ait 2 usines de scotch : une qui fabrique du scotch et l'autre qui fait... heu... ce... enfin ce truc jaune.</t>
  </si>
  <si>
    <t>Fait son travail, sans plus Il chauffe bien et fonctionne mais sa forme n'est pas non plus idéale : ce tour du cou ne chauffera que le bas du cou, éventuellement les trapèzes. A moins de s'allonger, difficile d'atteindre les cervicales du haut.</t>
  </si>
  <si>
    <t>bien pensé mais gare aux fuites... Chauffe biberon à la fois simple et bien pensé. Peu etre utilisé pour réchauffer 2 biberons au cours de la sortie. Un seul bemole, une fuite est apparu au niveau du bouchon, j'ai retrouvé mon sac à langer trempé! J'ai beau bien reserer le systeme la fuite persiste.</t>
  </si>
  <si>
    <t>Bien Bien conforme</t>
  </si>
  <si>
    <t>TRES BON PRODUIT idem</t>
  </si>
  <si>
    <t>Bien taillé Ma petite fille est ravie de ce produit et comme c'est une princesse : elle reviendra dans vos rayons !</t>
  </si>
  <si>
    <t>C'est cool Bien cette huile essentielle....rien à dire pour se faire du bien avec un remède naturel et sans produits chimique. A tester pour ce qui aime les huiles essentielles.</t>
  </si>
  <si>
    <t>que de l'excellente qualité française de la marque dodie pour ce joli coffret naissance Je suis fidèle à DODIE que j'utilise depuis des années pour mes nourrissons dont j'ai à m'occuper comme nounou. ce coffret est très joli et a tout ce qu'il faut pour un enfant de la naissance à 3 mois environ, voire un peu plus.  Il y a 3 biberons en verre comme on achète dans les très bonnes pharmacies et 3 tétines anti-colique, celles ci ont la forme du sein maternel,  ainsi qu'une sucette dès la naissance jusqu'à 3 mois environ.  Je prends toujours quand j'en ai connaissance cette marque avec sa fabrication française, signe de grande qualité et surtout qui sont garantis sans bisphénol a ni bisphénol.</t>
  </si>
  <si>
    <t>impeccable mais attention à la pointure ! très bonne facture, aucun défaut, pour 85,84€ livré plus retour gratuit, peux pas mieux faire! (surtout pas timber) Si, commandé le 22-12-16, reçu le 23..........je les souhaitais depuis longtemps ! Merci encore !  PS je chausse du 41.5 mais grâce aux autres avis, j'ai commandé deux paires avec une taille de pointure en dessous ce qui m'a évité de les renvoyer !!!  &lt;a data-hook="product-link-linked" class="a-link-normal" href="/Caterpillar-Colorado-Bottes-Chukka-homme-Noir-Black-41-EU/dp/B0050B40VE/ref=cm_cr_arp_d_rvw_txt?ie=UTF8"&gt;Caterpillar Colorado, Bottes Chukka homme, Noir (Black), 41 EU&lt;/a&gt; &lt;a data-hook="product-link-linked" class="a-link-normal" href="/Caterpillar-Colorado-Bottes-Chukka-homme-Marron-Chocolate-41-EU/dp/B001HB5XP8/ref=cm_cr_arp_d_rvw_txt?ie=UTF8"&gt;Caterpillar Colorado, Bottes Chukka homme, Marron (Chocolate), 41 EU&lt;/a&gt;</t>
  </si>
  <si>
    <t>Taille du vêtement adaptée. Livraison rapide. Promotion prix. Esthétique, simplicité, qualité, taille L adaptée. Très bon sweet Adidas.</t>
  </si>
  <si>
    <t>Converse all star Commander sans problème</t>
  </si>
  <si>
    <t>Boucles d'oreilles Femme ANGEL NINA Bonjour ; Très beaux bijou de belle facture et surtout qui  on fait énormément plaisir a mes petites filles je les recommande pour toutes occasions</t>
  </si>
  <si>
    <t>Excellent rapport qualité prix! Utilisation avec imprimante à jet d'encre. Très bon résultat. Je viens d'acquérir une imprimante laser, on verra si le résultat est aussi bon. En tout cas, prix très correct, livraison très rapide et bonne qualité.</t>
  </si>
  <si>
    <t>Chaud bouillant ! 🔥🍵 J'ai beaucoup de produits de marque Bosch, je n'ai pas trop réfléchis pour acheter cette bouilloire. mon choix s'est porté sur celle-ci car j'adore la couleur elle est magnifique. j'ai également le grille-pain dans cette couleur ça se marie très bien. avec ma cuisine. Rien à redire sur l'utilisation elle est très facile on met de l'eau on appuie sur le bouton et ça chauffe, une bouilloire quoi 😁. J'ai bien le fait qu'il y ai le nombre de tasses a côté de la contenance. Les graduations sont bien visibles et vont jusqu'à 1,7 L.</t>
  </si>
  <si>
    <t>Parfait Parfait pour le filtrage des bruits sourd et constant. Petit bémols sur les voix qui passent quand même à travers le filtrage. Le son est quand même très orienté basse (a priori une constante Bose)</t>
  </si>
  <si>
    <t>chaussons Chaussons super chaud et agréable, avant d'acheter j'avais regardé les commantaires et j'ai bien fait, comme apparament ils taillaient petit j'ai pris une taille au dessus, c'était donc parfais niveau taille et pour l'odeur désagréable de colle, je les ai fait tremper une nuit dans de la lesive, ensuite un peu d'adoussissant, un séchage à l'exterieur, et plus d'odeur. Je recommande</t>
  </si>
  <si>
    <t>Confortable Le casque est efficace et confortable, ce sont ses 2 points positifs principaux. De plus, le son est clair et j'ai aussi remarqué qu'il marchait à quelques mètres de distance de plus que mon ancien casque (qui avait coûté le même prix) donc cela me permet de me balader avec dans toute la maison. Après plusieurs heures d'utilisation il me reste encore de la batterie. Les boutons sont intuitifs et après avoir testé, le son est bien contenu et très peu audible pour ceux qui ne portent pas le casque. Pas de risque de déranger du coup. Je recommande cet achat pour les budgets limités et pour ceux qui cherchent quelque chose de léger et efficace.</t>
  </si>
  <si>
    <t>Excellent Cadeau pour ma mère qui avait mal au cou, elle adore, elle ne s'en passe plus vraiment je le recommande. Je l'ai testé c'est confortable et une fois chauffé c'est tout bonnement agréable.</t>
  </si>
  <si>
    <t>Bracelet cuir Bonjour reçu en temps et en heure, agréablement surpris bien emballé et facile à monté je le conseil !</t>
  </si>
  <si>
    <t>Pantoufle de sécurité Conforme à la description sur le site. La pointure est parfaite (43 avec pied large). Des pantoufles de sécurité. Légères et souples utilisation en intérieur et dans un bureau Attention pas vraiment faites pour des chantiers</t>
  </si>
  <si>
    <t>CONQUISE C'est LE Soutien gorge de sport !! je fais du fitness, marche , footing depuis plus de 15 ans et je n'ai jamais porté un soutien gorge pareil ! Il n'y a pas d'armature, le maintien est impeccable. J'ai sauté durant 5 minutes comme une folle tellement je n'y croyais pas. Le plus, c'est le dos nageur. Je fais un bon 90 D avec un petit dos, taille 38 et je suis ravie. Ce soutien gorge bat largement les autres marques dans lesquels j'ai déjà investit. Et le prix défie toute concurrence. JE RECOMMANDE, aucun regret. Satisfaite de la livraison rapide: 2 jours !</t>
  </si>
  <si>
    <t>Taille bien et confortable Taille bien et confortable</t>
  </si>
  <si>
    <t>Pas vraiment du A4! Déçu, j'avais acheté ce sac en pensant obtenir un vrai format A4, comme précisé dans les dimensions et sur les schémas, mais en réalité le sac fermé mesure 28cm et non 30cm. Si vous voulez mettre un document A4 dans ce sac, il faudra au moins laisser le zip du dessus grand ouvert, et tendre le rabat au maximum pour que les deux velcros se touchent à peine. Voir ci-joint les 3 photos du sac fermé (avec mesures), ouvert avec des documents A4, et "fermé" avec les mêmes documents A4 (souples, d'une dizaine de pages, et repliés au fond pour pouvoir fermer les velcros). Les véritables dimensions devraient être présentées, ou au moins préciser que le rangement A4 n'est possible qu'avec la sacoche ouverte.</t>
  </si>
  <si>
    <t>Rien avoir avec les photos Pas satisfaite du tout je les ai acheté afin de remplir un livre d'or à page noir pour mon mariage le résultat est nul. Les couleurs ne correspondent pas à la vente on vois presque rien même après séchage complet du feutre. Je suis très déçu.</t>
  </si>
  <si>
    <t>super comme sur la photos bien epait</t>
  </si>
  <si>
    <t>Satisfaite Niveau taille nous ne sommes pas content. Il est mit nulle part sur la description de l'article que c'est une taille américaine ... Si on avait su on aurai directement commandé la taille au dessus.... La taille commandé 45/46 est une taille 11. Mais nous allons reprendre cette paire tout de même.</t>
  </si>
  <si>
    <t>Belle qualité, esthétique et branché Très joli sweat de belle qualité, belle couleur ! Acheté en taille S pour un ado de presque 14 ans mesurant 1,62 mètres. Il l’adore...</t>
  </si>
  <si>
    <t>Compatible avec ma Canon MG7750 J'utilise ces cartouches en remplacement de celles d'origine pour mon imprimante Canon MG7750. Pour l'instant, tout fonctionne parfaitement. Pour le reste, le rendu des couleurs et l'impression N/B sont conformes à ce qu'on obtient avec des cartouches d'encre d'origine de marque Canon. A valider sur la longueur.</t>
  </si>
  <si>
    <t>tres bonne paire de ballerine achat en noir et blanc , les deux paires sont de bonne qualité ; taille assez grand attention quand même. la semelle isole bien le pied</t>
  </si>
  <si>
    <t>Se sentir bien dans ses chaussures Je n'ai pas encore utilisé ces chaussures mais les ai essayées ,elles chaussent à la pointure exacte et sont confortables.</t>
  </si>
  <si>
    <t>superbe article belle qualité plein de place vraiment contente de mon achat je le recommande superbe article belle qualité plein de place vraiment contente de mon achat je le recommande vraiment en plus très  pratique et identique à la photo</t>
  </si>
  <si>
    <t>Un réveil tout en douceur Les réveils sont compliqués? Et bien, grâce à ce réveil lumière, vos réveils se feront avec davantage de douceur... La lumière éclaire progressivement la chambre 30 minutes avant l'horaire indiqué sur votre alarme. Et laissez-vous aussi réveille aux sons de la mer, des chants d'oiseaux, du violon au autres (parmi les 6 préenregistrés + radio). Les différents réglages sont assez simples à réaliser, la notice est complète: réglages à l'avant de l'appareil et aussi sur le dessus (photo 3). Ce que j'apprécie aussi, c'est le design du produit: courbes arrondies, effet zen et épuré, une poignée à l'arrière (voir photo 3). Pour le branchement: soit sur secteur mais attention il y a un cordon USB fourni sans l'embout secteur, soit par piles. Destiné à mon fils: ce réveil fait aussi fonction de veilleuse, différents couleurs (lumière blanche et couleurs), on peut choisir une couleur ou bien les faire défiler. Objet qui plaira aussi bien aux enfants qu'aux adultes! Ravie de mon achat! Je conseille!! Et bon réveil à tous!</t>
  </si>
  <si>
    <t>Cartouches Top. Cartouches XL, portent très bien leurs noms. On peut s'apercevoir que le poids par rapport à la marque d'origine est vraiment différent. L'imprimante vous dit que si vous n'utilisez pas les cartouches d'origines vous perdrez la garantie mais au prix de l'encre , je crois que ces cartouches valent largement l'origine. Les puces intégrées vous indiquent le niveau comme les originales. A voir dans le temps comment réagi l'imprimante comme les constructeurs maîtrise toutes les données de celle-ci. Je conseille ces cartouches.</t>
  </si>
  <si>
    <t>Design épuré Efficace pour chauffer de l'eau. Et puis son allure est vraiment épuré</t>
  </si>
  <si>
    <t>Reveil en douceur Facile d'utilisation. Agréable de pouvoir éteindre complémentent la luminosité de l'heure. Dommage de ne pas pouvoir programmer différentes heures de réveil. Prend peu de place ce qui permet de l'emporter et de ne pas encombrer la table de nuit. L'intensité progressive de la lumière permet de se réveiller en douceur avant même que le son choisi (bruit de vague, oiseau, pluie..) sonne.</t>
  </si>
  <si>
    <t>. Parfait ! Absolument rien à dire, taille parfaite, aucuns défaut et livraison très rapide !</t>
  </si>
  <si>
    <t>tres bien tres bien</t>
  </si>
  <si>
    <t>Hyperconfortable Un legging tout confort au motif original. Il taille plutot bien, le tissus semble de bonne qualite et est tres extensible. Adepte des leggings a bas prix (3/5 euros) ne regrette aucunement mon achat.</t>
  </si>
  <si>
    <t>Sécurité Très fonctionnelle mais dû rajouter des semelles à l'intérieur car semelle de dessous pas assez épaisse sinon confortable pas l'impression d'avoir des chaussures de sécurité aux pieds</t>
  </si>
  <si>
    <t>C'est un très bon Kipling Tout est bien : la qualité Kipling,le modèle exactement de la bonne taille et avec plein de poches, la contenance,  la couleur (je l'ai commandé en beige), le poids ; je l'utilise même pour emporter mon ordinateur portable en avion... Livré dans les délais... Cliente satisfaite !</t>
  </si>
  <si>
    <t>Parfait pour hp envy photo 6232 J'ai acheté ces cartouches pour mon imprimante hp envy photo 6232 et je n'ai eu aucun soucis. Moins cher qu'en magasin donc ravie.</t>
  </si>
  <si>
    <t>Quelle qualité! la qualité est top, même mieux que mes airpod de la pomme. Ils tiennent aussi beaucoup mieux à l'oreille. L'autonomie est parfaite. à peine sorti de l'emballage, ils se connectent en 5sec au tel.. pas besoin d'être bricoleur ou informaticien pour les faire fonctionner. Regarder bien la notice pour le sens de mise à l'oreille.</t>
  </si>
  <si>
    <t>Au Top J’aime beaucoup. Bonne tenue et sens super bon</t>
  </si>
  <si>
    <t>Elles sont parfaotes Elles sont parfaotes</t>
  </si>
  <si>
    <t>Parfait pour le petit prix Je viens de le recevoir et de l'utiliser pour découper 20 pièces de coton., il est top, il semble léger mais fait parfaitement le travail.</t>
  </si>
  <si>
    <t>pas fan :) On est un peu obligé de prendre ces cartouches mais l'autre jour apres une impression, cartouche noir défaillante, obligé d'en changer .... bref l'arnaque et on est obligé d'en reboire si on les remplis pas soi-même (tâche a laquelle je m'attelle).</t>
  </si>
  <si>
    <t>Mauvaise expérience Je ne recommande pas du tout ce produit. Une oreillette ne tient à peine qu'une heure une fois chargée. Problèmes  récurrents de micro coupure. Fuyez pauvre fou.</t>
  </si>
  <si>
    <t>Gros regrets: transforme la voix J'ai acheté ce micro dans le but de réaliser des enregistrements vocaux. A partir d'un logiciel (wavepad) sur mon ordinateur, j'expérimente ... lorsque ce micro n'est pas branché et que le micro intégré de mon ordinateur prend en charge l'enregistrement, les tonalités de ma voix sont bien respectées (mais la qualité du son n'est pas excellente); une fois le micro bird branché, la qualité du son est nettement meilleure, mais les tonalités de ma voix sont totalement modifiées !! Après de multiples essais, je me vois réduite à effectuer mon enregistrement sans micro, ou rechercher un autre micro..</t>
  </si>
  <si>
    <t>Confortable mais adhérence sur sol humide très mauvaise Confortable, proche du sol et facile à enfiler.  Taille petit : prendre 1/2 pointure de plus.  Gros défaut qui lui coûte un bon score : très mauvaise adhérence sur sol humide ! A la limite du dangereux. Dommage, car du coup les crampons profonds qui inspiraient confiance n'ont en fait guère d'autre utilité que de retenir la saleté...</t>
  </si>
  <si>
    <t>Malheureusement elle prenait l eau alors qu elle etait vendue pour etanche j ai du la retourner. Jolie montre.</t>
  </si>
  <si>
    <t>Satisfaite Je viens de les recevoir Pour l instant contente Bonne pointure.. légère.. tient bien au pied</t>
  </si>
  <si>
    <t>Moyen Produit bien mais le seul point negatif est sûils ne tiennent pas bien il faut les tenir sinon ils tombe</t>
  </si>
  <si>
    <t>pratique Pour un prix défiant toute concurrence, ce masseur permet de se masser le cou et le haut du dos ( là ou j'en ai le plus besoin, mais il est également possible de se masser le bas du dos ou les jambes. Le massage est vraiment fort, mais j'apprécie.</t>
  </si>
  <si>
    <t>ensemble bijoux très joli, très agréable a porter. ca fait son effet</t>
  </si>
  <si>
    <t>Taille un peu petit Je marche toute la journée pour mon travail et je suis bien a l'aise dedant.</t>
  </si>
  <si>
    <t>Très bon massage C’est bien cette massage, car elle est ensemble 2 en 1, pouvoir un coussin et pouvoir un massage de épaule, très facilement utile, moi utilise par pour tout , explique : message dos ; bras ; jambes ; cou etc..., c’est vraiment bien utilisé quand nous avons fatiguée, mais j’ai achetée pour préparer un cadeau de Noël, c’est très bon pour cadeau, je recommande.</t>
  </si>
  <si>
    <t>Rien a dire Parfait</t>
  </si>
  <si>
    <t>Hotte Un peu bruyant</t>
  </si>
  <si>
    <t>Utilisation professionnelle Bien que recommandée pour une utilisation domestique, je l'ai acheté pour un usage professionnel (étiquetage de tableaux électriques) au vu de sa petite taille et de sa simplicité d'utilisation (je ne suis pas un expert en technologie et perds vite patience). Je suis tout à fait satisfait des résultats obtenus, fonctionne avec 6 piles ou adaptateur 9V-18W, peu encombrante et d'un design séduisant, je recommande vivement. Expédition rapide et soignée reçue bien avant la date annoncée, produit dans son emballage d'origine scellé, le prix est modique et le professionnalisme notoire du vendeur à féliciter.</t>
  </si>
  <si>
    <t>Conforme à la description Mon fils a adoré cette collection, les livres sont un peu petits mais je le savais avant de commander l'article.</t>
  </si>
  <si>
    <t>Je recommande Très bonne qualité</t>
  </si>
  <si>
    <t>Bien Bien</t>
  </si>
  <si>
    <t>Conforme Livraison et conformité du produit ok</t>
  </si>
  <si>
    <t>Très pratique Très petit et facile à transporter, le son est très clair et la charge est rapide</t>
  </si>
  <si>
    <t>estetique pratiques</t>
  </si>
  <si>
    <t>agreablement surprit &lt;div id="video-block-R2FXO5T4RWX4T6"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id="7" preload="auto" src="https://images-eu.ssl-images-amazon.com/images/I/91ALpclgcOS.mp4" style="position: absolute; left: 0px; top: 0px; overflow: hidden; height: 1px; width: 1px;"&gt;&lt;/video&gt;&lt;/div&gt;&lt;div id="airy-slate-preload" style="background-color: rgb(0, 0, 0); background-image: url(&amp;quot;https://images-eu.ssl-images-amazon.com/images/I/81Pb0-5HuxS.png&amp;quot;);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value="https://images-eu.ssl-images-amazon.com/images/I/91ALpclgcOS.mp4" class="video-url"&gt;&lt;input type="hidden" name="" value="https://images-eu.ssl-images-amazon.com/images/I/81Pb0-5HuxS.png" class="video-slate-img-url"&gt;&amp;nbsp;produit conforme a la description , je suis epater pour le prix , tun super beau cadeau a offrir !!!! un embalage digne d un bijou , tres bien emballe . la motre et tre jolie , assez grosse mais facile a utiliser . elle fait chronometre , date heure et alarme , le retroeclerage est bien net . les boutons sont facile a utiliser , le bracelet est en abs plutot confortable  il y a un petit objet qui d apret ce colle derierre les tel portable , afin de servir de support pour voir des video sur tel , c est fournis dedans , mais je m en servirai pas . quand au bracelet fournis en plus de la montre c est tres sympas et jolis , ca fait bien mieux que d offrir que la montre ! la notice est asse claire  mais elle est en anglais</t>
  </si>
  <si>
    <t>super produit très bon produit aussi bien sur de la boue que sur la neige. utilisation pour un poids lourd 95 kg pour 1m93 et RAS</t>
  </si>
  <si>
    <t>Conforme à la description Pour marcher..très agréable et confortable..</t>
  </si>
  <si>
    <t>Jolie montre homme rempli sa fonction Bon produit rempli sa fonction éclairage top</t>
  </si>
  <si>
    <t>super trop bien super cadeau elles vont êtres super contentes bon surement pas leur parents super son  pas trop lourd  maintenant a voir en pleine nuit pour les lumières</t>
  </si>
  <si>
    <t>Ne tient pas dans le temps et le debit est trop rapide. Difficile a utiliser chez un petit. Debit trop rapide pour du lait+cereales. Cela convient pour les soupes ou lorsque ma fille est tres préssée de finir son biberon, mais ce n'est pas le mieux. Il y a une grosse différence ente le debit des tetines rapides qui ont un simple trou et le debit variable en croix. De plus avec le temps, la tetine se dechire, agrandissant l'ouverture en croix. Donc a changer tres regulierement. Je continuerai d'en commander car il n'y a pas d'intermediaire mais cela reste dommage.</t>
  </si>
  <si>
    <t>Pas de produit dans la boîte ! Bravo je reçois le colis pour la saint Valentin et je découvre la boîte vide ! Remboursez moi !si j’avais pu mettre -10 étoile je l’aurais fais</t>
  </si>
  <si>
    <t>Sandales Sandales de mer, piscine : Les semelles se sont décollées en quelques jours, j'ai dû les recoller, sandales de mauvaises qualité.</t>
  </si>
  <si>
    <t>Biberons Anti-coliques pas top pour le prix Quelques soucis avec ces biberons : Les valves sur les grands biberons ne fonctionnent pas ce qui fait que la tétine s'enfonce (peut être parce que nous utilisons du lait épais ?) Ensuite les inscriptions de quantités sur les biberons commencent à s'effacer au bout d'une semaine d'utilisation. La forme des biberons fait qu'il reste toujours du lait dedans à la fin de la tétée. Seul point positif pour moi, les tétines qui ont une bonne forme pour la prise en bouche par bébé.</t>
  </si>
  <si>
    <t>Bon rapport qualité prix Chaussent petit Les lacets sont difficiles à nouer sur la partie supérieure La semelle est très confortable Le maintien est parfait</t>
  </si>
  <si>
    <t>gommettes produits correct</t>
  </si>
  <si>
    <t>Une montre qui fait l'affaire Solide et fonctionnelle pour un prix raisonnable. Je recommande ce produit pour une utilisation dans un cadre sportif où professionnel (armée, sécurité...)</t>
  </si>
  <si>
    <t>Qualité au top, encore trop de plastique La bouilloire fonctionne très bien, la sélection de la température est très aisée. C'est un détail mais elle aurait pu être simplifiée : sélection de la température puis bouton marche/arrêt, aurait pu être simplifiée en appuyant seulement sur le bouton de la température. Fonction de maintien au chaud pratique (pas automatique, il faut appuyer sur un troisième bouton). Dernier reproche, le plus dérangeant à mon goût : la présence de plastique au niveau de l'intérieur du couvercle (pas en contact avec l'eau mais avec les vapeurs), du support de filtre à calcaire (peut être en contact avec l'eau si trop rempli ou lorsque l'on verse l'eau chaude) et l'indicateur du niveau de l'eau.</t>
  </si>
  <si>
    <t>Montre Benyar Montre assez simple. Assez confortable mais qui fait son petit poids.  Cadran lisible.  Réduction importante (37€ au lieu de 114€ lors de la rédaction de ce commentaire) ce qui vient faire douter de la qualité. Je ne connais pas trop le domaine aussi j'appelle à la méfiance.  Au premier abord rien à dire mais je pars de base sur une montre à 37€. Si c'était plus cher je me poserais plus de questions.  Bon produit.</t>
  </si>
  <si>
    <t>Très bien Cadeau pour ma belle mère elle est ravie et s’en sert très souvent</t>
  </si>
  <si>
    <t>Un jeu d'enfant pour monter le nouveau  bracelet J'ai aimé le tourne vis livré avec le bracelet</t>
  </si>
  <si>
    <t>Le livre dont on a l'usage longtemps offert à un garçonnet de 3 ans, il lui apportera des réponses dont il comprendra d'autres détails dans quelques années.</t>
  </si>
  <si>
    <t>Comme un gant Je fais mon footing avec ce pantalon et du yoga. On ne le sens pas du tout, colle bien à la peau sans avoir l'impression d'être compressée. Je recommande ce produit.</t>
  </si>
  <si>
    <t>Bien Bien fait</t>
  </si>
  <si>
    <t>Satisfaite Reçu rapidement dans joli sachet. Taille comme il faut, en coton de bonne qualité. Bon maintien au niveau de l’élastique.</t>
  </si>
  <si>
    <t>Étonnamment surprise ! Pour avoir été un peu sceptique au moment de la commande je dois m’avouer totalement convaincue. Premier point le coli devait être livré le 14 décembre hors je l’ai reçu le 27 novembre (premier point positif !). Ensuite j’ai reçu les bracelets dans une petite boîte très jolie (sur la photo) et celle ci était emballé dans du papier bulle. Les bracelets étaient tout les deux emballés dans un sachet plastique qu’en j’ai déjà retiré puis ils étaient encore emballés séparément dans des petites pochette hermétiques. Très très contente de en mon achat, on peut voir également que les bracelets sont de qualité même si le fil paraît un peu fragile..</t>
  </si>
  <si>
    <t>Excellent rapport qualité prix Excellent rapport qualité prix, très beau bracelet fidèle à la description. Il y a des outils prévu pour régler les tailles du bracelet, et c'est bien pensé. Le bracelet fait habillé et donne un aspect très esthétique. Pour la solidité je ne me prononcé pas encore ça ne fait que 2 jours que je le porte. Seul remarque que je peux faire c'est de prévoir un autre bracelet silicone pour le sport car celui ci ne serre pas assez le poignée pour des relevés fiable</t>
  </si>
  <si>
    <t>Top Top juste pas de zip mais sa m'arrange</t>
  </si>
  <si>
    <t>parfait parfait</t>
  </si>
  <si>
    <t>J'adore Super égouttoir à biberon que ce soit au niveau esthétique ou pratique. Je l'ai disposé derrière mon évier et il convient parfaitement. Les biberons sont bien maintenus ainsi que les tétines. La partie verte peut se lever très aisément afin de pouvoir nettoyer et vider l'égouttoir. Le nettoyage est vraiment très simple. Les "pics" ne sont pas souples comme je le pensais mais assez rigide ce qui assure un maintien optimal. J'ai installé 5 biberons sans souci et sans aucun accessoire en plus point Je suis super contente de mon achat et je recommande très fortement ce produit</t>
  </si>
  <si>
    <t>parfait j'ai une imprimante hp desket 3050 qui date un peu. je n'ai même pas eu à la reconfigurer. Les étiquettes s'adaptent parfaitement à l'impression des timbres et aucun soucis dans le passage de l'imprimante. je recommande vraiment ce produit. colle impeccable. prix raisonnable</t>
  </si>
  <si>
    <t>Hyper confortable Hier j'ai testé mes nouvelles chaussures de sécurité pendant une journée de 10h tout le temps debout à marcher et le soir vraiment pas mal aux pieds elles sont légères et confortable et vous les conseils petit bémol sur sol mouillé elles glissent</t>
  </si>
  <si>
    <t>J'adore très frais Très bonne lessive</t>
  </si>
  <si>
    <t>Confortable, qualité Chaussette adapté comme prévu je chausse du 42, pratique pour cette été cela suivra avec mes pentacourt, très bonne qualité et confortable.</t>
  </si>
  <si>
    <t>Moyen Déçue par ce produit. Il fonctionne correctement mais la taille est trop petite.</t>
  </si>
  <si>
    <t>Manue une perle JOLI MAIS MANQUE UNE PERLE ET NE TIENT PAS EN PLACE</t>
  </si>
  <si>
    <t>Contrefaçon? Qualité très médiocre On m'avait assuré que c'était de vraies vans, mais cela au bout de 2.5 mois d'utilisation moyenne (1 à 2 fois par semaine) la toile au milieu du côté interne du pied s'est légèrement déchirée et la qualité reste à prouver. Déçue d'Amazon a qui je faisais confiance, ne les achetées pas ici!</t>
  </si>
  <si>
    <t>Fer pas assez epais Bijoux adapter pour mes locks On reçoit 120 pièce dans des pocheton Très jolies bijoux 3 étoile car les bijoux son très fin donc sa s'abime vite</t>
  </si>
  <si>
    <t>parfait pour la prise de médicaments ce tout petit Dodie-Microbiberon 50ml col étroit tétine 3 vitesses débit 1 - Modèle aléatoire est en fait non pas un biberon pour les tout-petits bébés prématurés, ni pour liliputiens, mais calibré pour administrer les médicaments aux nourrissons. il n'est pas étudié pour être secoué afin de mélanger lait en poudre et eau, mais juste pour recevoir les médicaments à administrer.</t>
  </si>
  <si>
    <t>satisfaite de cet achat un peu grandes mais sans plus, large aux mollet c'est très  bien, parfaites pour le jardin</t>
  </si>
  <si>
    <t>Plus efficace au niveau chauffage ! Après avoir commandé en premier le modèle "choisi par Amazon", je me suis fait livrer ce modèle qui semble plus efficace au niveau chauffage ! Malheureusement le chausson a moins de tenus aux pieds et a un peu tendance s’écrouler ! Mon épouse semble satisfaite, c’est le principal !</t>
  </si>
  <si>
    <t>Bon micro Commandé avec quelques défauts soi-disant esthétique, je me rends compte qu'ils sont vraiment mineur et ne gène pas du tout la qualité de diffusion. Utilisé avec un Xenyx 302usb, les réglages se font facilement, la large capsule permet une très bonne captation de la voix et la retransmission est assez fidèle. En revanche, je mets un 4 étoiles parce que le pas de vis pour filtre anti-pop n'est pas bien usiné, je peut le retirer et le remettre sans dévisser quoi que ce soit.</t>
  </si>
  <si>
    <t>Très bon produit. Très bien pour des sorties VTT...</t>
  </si>
  <si>
    <t>Joli Ras</t>
  </si>
  <si>
    <t>je ne m'en passe plus produit génial pour les baskets, les couettes et serviettes de toilettes entre autre bien sur; parfois donc en complément de la lessive ARIEL Simply</t>
  </si>
  <si>
    <t>Super produit top qualité Bon produit conforme à la description. Le produit masse très bien et fait très peut de bruit. Plusieurs positions pour le massage et notice complète. Cela fait plusieurs semaine que je l'utilise et mon mal de dos est passé. Super produit je recommande</t>
  </si>
  <si>
    <t>Je recommande Rien à dire , le produit est très bien</t>
  </si>
  <si>
    <t>Basket Basket parfaite livraison rapide</t>
  </si>
  <si>
    <t>Pratique pour le sport J'ai acheté ces chaussettes en lot de différentes couleurs pour mes séances de sport. Je les trouve très bien, de bonne qualité et toute douce. adaptée à ma pointure.</t>
  </si>
  <si>
    <t>Attention aux tailles Prendre trois tailles au dessus, Je fais du 38 et je l'ai donné à ma nièce de 12 ans Sinon super sympa</t>
  </si>
  <si>
    <t>Triple 👍 Commande effectuée avec une simplicité , produit nickel. Livraison rapide et suivi de commande efficace.</t>
  </si>
  <si>
    <t>Parfait Esthétique, serré, je l'ai acheté pour faire plaisir à mon conjoint. Et on adore</t>
  </si>
  <si>
    <t>Joli et de qualité très correcte Beau bijou, plutôt plus grand que la photo ne le laisse penser et de qualité tout à fait acceptable pour un bijou de ce prix là réalisé dans des métaux non précieux. Ce n'est pas du platine bien entendu mais c'est un beau bijou.  Seul l'emballage est un peu cheap.</t>
  </si>
  <si>
    <t>Écouteurs au top Les écouteurs sont parfaits: autonomie de plusieurs heures, ne tombent pas des oreilles et la qualité du son est excellente. Et en plus ils ne sont pas chers.</t>
  </si>
  <si>
    <t>Excellent rapport qualité-prix J'ai acheté ces biberons en promo (18€ les 6 !!) et j'en suis très satisfaite. Ils sont vraiment beaux et mon petit garçon de 3 mois et demi apprécie vraiment les tétines Tommee Tippee.</t>
  </si>
  <si>
    <t>top ! bon produit , kit tres complet , facile à utiliser , fonctionne parfaitement , tres bon rendu :) fournis avec plein de feuilles donc directement pret à l'emploi je trouve que pour le prix c'est un tres bon rapport qualité prix , je ne rencontre pas de problème avec cet achat je suis donc satisfait</t>
  </si>
  <si>
    <t>Nickel Super chaussettes, bien taillé et bien réalisé</t>
  </si>
  <si>
    <t>Moyen Moyen</t>
  </si>
  <si>
    <t>Très mauvaise qualité De gros problème de faux contact avec le câble alimentation, ne marche déjà plus au bout de quelques mois, à éviter</t>
  </si>
  <si>
    <t>Aiguilles trop fines Les aiguilles sont trop fines ce qui rend la lecture de l'heure difficile du fait qu'il y a le fonctionnement du mécanisme en arrière plan.</t>
  </si>
  <si>
    <t>BELLE CASIO, Belle montre de bonne qualité, arrivée dans un étui en veleur avec manuel et garantie. livrée avant la date prévue.je la recommande</t>
  </si>
  <si>
    <t>Bon rapport qualité prix Bon rapport qualité prix pour c’est Bottines timberland légère et élégante à la fois acheter d’occasion elles sont neuves juste la boîte était abîmé</t>
  </si>
  <si>
    <t>Parfait ! Jolie, bien construite,  facile à utiliser. Temps de chauffe TRÈS  rapide. Je recommande.</t>
  </si>
  <si>
    <t>Qualité/ prix correcte Fonctionne bien, vu son prix pas déçu de mon achat</t>
  </si>
  <si>
    <t>chaussette à son pied chaussettes sympa et agréable. Un bon look. nous verrons pour la tenue dans le temps après plusieurs lavage... faites vous plaisir à ce prix</t>
  </si>
  <si>
    <t>pour enfant Le micro marche très bien et la qualité du bluetooth est top il n'y a pas de décalage entre le téléphone et le micro。</t>
  </si>
  <si>
    <t>Bonne taille et conforme et envoie rapide ..Au top .Merci Super produit</t>
  </si>
  <si>
    <t>Apres 6 mois utilisation temps plein rien à signaler Conforme description livraison rapide bon produit chaussure Solide Un peu lourd à mon goût Pas très étanche par temps de pluie</t>
  </si>
  <si>
    <t>super bonne coupe, tient bien</t>
  </si>
  <si>
    <t>38/40 Taille S ou 38/40 les coutures sont de bonne facture il est simple tissu assez fin mais solide je m'en sers pour mes cours de Tai chi</t>
  </si>
  <si>
    <t>RAS Reçu en temps et en heure produit conforme à la photo et en taille aussi rien à redire</t>
  </si>
  <si>
    <t>Incroyable J'ai acheté ce micro pour un de mes enfants. Là qualité m'a extrêmement surpris. J'en avais acheté un différent pour l'autre de mes enfants. Là différence est incroyable. Sans commune mesure. De fait nous avons renvoyé le micro pour racheté un deuxième comme celui ci. N'hésitez vraiment pas. Ils coûtent aussi chers que des micros pour enfants mais là, la qualité est au rendez vous et vous n'aurez pas de produit manquant cruellement de fiabilité. Ils sont également aussi simples d'utilisation. C'est tout gagnant.</t>
  </si>
  <si>
    <t>À acheter ! Franchement pour quelqu'un qui se lance sur Youtube ou même pour quelqu'un d'expérimenté il n'y a pas à hésiter. J'ai pu moi même faire la comparaison avec un set-up quasi identique avec la marque RODE et le constat et sans appel : Une qualité excellente et semblable mais avec 200€ de différence. Donc au lieu d'acheter tout séparé ou d'une autre marque tout aussi professionnelle, vous pouvez acheter ce produit les yeux fermé avec un rapport qualité/prix imbattable. Et la marque Blue est bien réputée pour ses produit d'exception.</t>
  </si>
  <si>
    <t>Bon son et bonne tenue pour courir !!! J'ai testé samedi fin de journée et dimanche fin d'après-midi ce casque Bluetooth pour aller courir. Un son de très bonne qualité et une tenue sur les oreilles parfaites pendant mon footing d'une heure. J'ai déjà testé ce genre de matériel sur des marques beaucoup plus onéreuses. Je trouve que le rapport qualité-prix est quasi imbattable je le recommande sans problème. Cordialement.</t>
  </si>
  <si>
    <t>Top top top Juste super, on s'en est bien servi au début de diversification et en été pour les fruits. Ma fille a vite compris le principe et n'hésitait pas de me demander de resservir la grignoteuse avec les morceaux. Un vrai glouton c'est reveillé en elle))))</t>
  </si>
  <si>
    <t>CIVO Montre Dijitale Militaire Homme Grand Nombre 50m Etanche Très bonne qualité lecture facile bonne prise en main, un petit bémol notice Anglais alors que cet article est vendu en France une notice française aurait été bien, mais j'apprécie tout de même cette montre……. bonne cotination</t>
  </si>
  <si>
    <t>pantoufles très pratique Très jolies pantoufles, super confortables, semelles anti dérapantes au top, elles taillent vraiment "normale", je conseille fortement ce produit</t>
  </si>
  <si>
    <t>très belle C'était pour faite un cadeau de noël, RAS pour l'instant, très belle montre, emballage, présentation tout y est ! Papou est ravi lui donc moi aussi !</t>
  </si>
  <si>
    <t>Mon cable VGA Cable me servant à relier mon écran à ma tour. Rapport qualité prix parfait . je recommande le produit .</t>
  </si>
  <si>
    <t>Très belle montre La montre est présentée dans un beau boitier noir à l'effigie d'Ice Watch et de BMW Motorsport. Son bracelet en cuir la rend agréable à porter, bien qu'il manquerait un trou pour les hommes ayant le poignet fin. Sa fonction chronomètre est un bon plus. Attention d'ailleurs, la trotteuse n'en est pas une, il s'agit de l'aiguille du chrono. Côté esthétique, je trouve cette montre très belle ! Elle a une allure à la fois classe et sportive, avec ses touches de rouge vif. Pour ceux qui n'aimeraient pas spécialement BMW, ne vous en formalisez pas, la marque est très discrète sur la montre, un petit logo sur le cadran et une mention ton sur ton sur son contour. La montre est lourde mais sans trop, cela inspire confiance quant à sa solidité. Les finitions sont très belles, tant sur le cadran que sur le bracelet.</t>
  </si>
  <si>
    <t>tétines tailles S et non M Contrairement à la description, les tétines ne sont pas de taille M 6-18 mois, il y a une taille S 0-6mois et une M 0-6 mois, la sucette est également 0-6 mois. Dommage, ces biberons sont super, mon fils les adore, je dois donc prendre des tétines en plus à côté.</t>
  </si>
  <si>
    <t>déçu ++ Très déçu !  Je déconseille vivement ce produit ....pas de voyant lumineux pour la mise en marche, pas de niveau d'eau visible, bouilloire extrêmement  chaude  à l’extérieur, on s'y brûle très facilement !........ si cette bouilloire n'est intéressante que pour son design.... alors !!!!!!!</t>
  </si>
  <si>
    <t>Coupure et déconnexion Coupures en permanence, pour une marque comme Bose et après autant de mise a jours tjs pas stable je déconseille cette achat pour le sport</t>
  </si>
  <si>
    <t>Moyennement pratique mais finition correcte Finitions correctes, mais Intérieur plus petit que prévu en raison de la fermeture éclair qui gêne un peu l accès.</t>
  </si>
  <si>
    <t>tres bien montre arrivée dans un colis bien ferme dans les temps et delais prevus donc je conseille seul bemol le reglage du bracelet qui est impossible a faire soi meme donc frais de mise a la taille a regler en sus pour info mais cela n a rien a voir avec le vendeur</t>
  </si>
  <si>
    <t>Très bien Super petite boucle d'oreille pour une petite fille avec les oreilles percées déjà je le recommanderai pour une fan de minnie</t>
  </si>
  <si>
    <t>élastique et lacets je n'avais pas fait attention qu'il y avait un lacet pour serrer la taille, je ne pense pas que je l'aurais acheté sinon. Il est donc un peu grand pour moi, malgré les lacets serrés le plus possible et n'existe pas en taille S.</t>
  </si>
  <si>
    <t>Pointure chaussures Très bon produit mais chausse une pointure trop grande .Très  sympa comme modèle . Tendance et discrète pour des chaussures de sécurité</t>
  </si>
  <si>
    <t>Cahier au top C'est un cadeau. Mais je l'ai feuilleté avant et je le trouve très bien pour apprendre le coloriage aux tous petits. Le contour du dessin est surélevé avec les paillettes ce qui empêche de dépasser. Il est vraiment top !</t>
  </si>
  <si>
    <t>Tres bon produit Un produit de qualité, belle matière, un blanc subtilement nacré et intérieur de la cuve en inox. Température programmable avec échelle de 5 degré. Chauffe vite. Apres dans les défauts qui moi ne me gênent  pas : 1-La paroie extérieure n'est pas isolée donc on ressent la chaleur. Pas jusqu'à se brûler quand même ! On est sur un produit de qualité. Moi je prefere ressentir que la paroi est chaude pour éviter de me bruler en l'attrapant un peu n'importe comment quand je l'utilise. 2- elle émet un bip mais il n'est pas strident et plutôt court alors ceux qui n'aiment pas les appareils qui bipent ca peut être agaçant le matin notamment 3 - elle se réchauffe toute seule et donc se met en marche automatiquement pour conserver la température de sélection et ce pdt 20 taine de Minutes ( ca le fait 2 fois ).  Pas possible de l'arrêter ou alors faut débrancher l'appareil</t>
  </si>
  <si>
    <t>Ambiance festive assuré Un beau cadeau à offrir. Le micro en lui-même et le packaging est impeccable! Bien emballé, bien protégé, bel effet! Ce fût un cadeau d'anniversaire pour ma fille de 6 ans qui a amusé toute la famille. Le micro est passé entre les mains des plus jeunes comme des plus vieux. Tout le monde c'est pris au jeu! Très simple d'utilisation... On le connecte en bluetooth ou par cordon. Vous pouvez utiliser YouTube ou dautres appli pour chanter. Nous avons aussi la possibilité d'y insérer une carte sd. Les réglages se font directement sur le micro. Nous pouvons l'utiliser comme karaoké biensur, mais aussi pour faire des commentaires, faire des effets sonores amusants, etc... Le son est impeccable voir même étonnant par rapport à ce petit micro qui est aussi très léger ! L'ambiance festive est assuré !</t>
  </si>
  <si>
    <t>C est cool C est super merci avec le sourire martine</t>
  </si>
  <si>
    <t>Sont géniales Top</t>
  </si>
  <si>
    <t>Le top du top! Je l’adore! Et ma fille aussi forcément Très très facile a nettoyer contrairement à d’autres biberon et tétine Il est vraiment top! Je le conseille à toutes les mamans ou futur maman sans aucune hésitation ! Et pourtant ayant 3 enfants, j’en ai essayé des marques de biberons et MAM sont vraiment le top du top!</t>
  </si>
  <si>
    <t>Ras Trop beau</t>
  </si>
  <si>
    <t>ravie très contente de ces baskets , rien a redire , elles durent dans le temps et passent au lavage, contrairement a bien d'autres achetées dans des magasins , je recommande</t>
  </si>
  <si>
    <t>Crocs très bon produit de bonne qualité (a voir comme ça) taille impeccable ,j'ai pris du 45-46 sa corresponds parfaitement Très bon vendeur et rapide en livraison A recommander</t>
  </si>
  <si>
    <t>Par emballage très peu  soigner merci Belle boucle d oreille merci</t>
  </si>
  <si>
    <t>Vans old school Tout à fait ce que je demandais, tailles comme des vans prévoir une taille en dessous de sa taille habituelle.</t>
  </si>
  <si>
    <t>Très facile à utiliser Utilisé comme humidificateur d'air dans la chambre de bébé . Très bien, joli design.</t>
  </si>
  <si>
    <t>Bon produit Nickel</t>
  </si>
  <si>
    <t>Parfait Utilisé il y a trois pour un changement d'écran de téléphone, facilité de mise en œuvre, et trois mois après l'écran est toujours en place, le téléphone fonctionne et aucuns défauts d'apparus. Ne pas hésiter à mettre la dose.</t>
  </si>
  <si>
    <t>De bons écouteurs pas chers Un très bon rapport qualité prix. Confortables avec de nombreux embouts, le son est très bon avec des basses bien présentes. Les aigus sont bien dessinés sans trop tirer sur le médium. On regrette juste l'absence d'un réglage de volume intégré. Livrée dans une petite housse en simili cuir.</t>
  </si>
  <si>
    <t>Gommette Recus en temps voulu le paquet contient deux feuilles de chaques couleurs ,super pour travailler avec des petits ou même s amuser</t>
  </si>
  <si>
    <t>Trop petit ! 40€ ça c’est cher. de bonne qualité coté conception cependant l’article est tout petit. A peine plus gros qu’un porte feuille. En gros, pour sortir en soirée, mettre son iphone + une carte bleu et les clés c’est parfait sinon passé votre chemin.</t>
  </si>
  <si>
    <t>Déçue. Durée de vie très courte Je me trouve déçue. À la première utilisation à la piscine, l'oreillette gauche ne fonctionne presque plus, le son devient très faible par rapport à la droite ou même inaudible (cela crée un déséquilibre sonore et même corporel). Vraiment dommage, parce que la qualité du son était impeccable au début. Le micro ne capte pas bien, je dois tenir l'oreillette près de ma bouche. Deux mois plus tard, ça marche presque plus. Ça charge durant 5 secondes puis le voyant lumineux devient bleu comme si la charge est complète. Sauf après à peine une minute je reçois le message "low battery" et les écouteurs s'éteignent. Je ne peux plus les utiliser. La durée de vie de ce produit est vraiment très courte</t>
  </si>
  <si>
    <t>déteint au contact des vêtements laisse de grandes traces marrons sur le pantalon, le polo, le T-Shirt. J'ai dû renvoyer l'article pour cette raison</t>
  </si>
  <si>
    <t>Pantoufles à paillettes Chaussons étranges mais confortables et moelleux. Maille couverte de fibre pailletée.</t>
  </si>
  <si>
    <t>Bof Depuis le temps, que je colles 20, 30 blattes pas nuits, il y a toujours autant. Affaire à ne pas suivre</t>
  </si>
  <si>
    <t>Parure Ensemble collier et boucles d oreilles très jolie, fait son effet pour le prix.</t>
  </si>
  <si>
    <t>tres chouette jeu tres rigolo!!meme si quelque fois le stylo ne fonctionne plus!!on rigole bien avec ce jeu de dessin en famille</t>
  </si>
  <si>
    <t>Très bon achat, je le recommande! Sac de belle qualité et finition. De plus il semble robuste, mais seul le temps le dira. Après plusieurs semaines d'usage quotidien, très chargé,il se maintient bien. Il aurait pu avoir plus de petites poches internes pour stylos, iPod etc.</t>
  </si>
  <si>
    <t>Pour le dégonflement des jambes et chevilles Les contractions musculaires des mollets et les mouvements des chevilles provoqués par l'appareil provoquent le dégonflement des membres inférieurs. Par manque de recul et d'analyses, aucun jugement sur l'action de l'appareil sur l'arthrose et le diabète.</t>
  </si>
  <si>
    <t>Peut être utilisé sur une GoPro. En un premier temps, je ne savais pas si le micro allait dépasser et se voir en haut (dans l'image de la GoPro) et si il y avais une compatibilité. Je me suis décidé et je l'ais acheter. Je ne savais pas vraiment la différence de son entre le vidéomicgo ou le plus petit. Finalement le micro est parfait pour l'utilisation que j'en fait. je l'utilise sur la GoPro comme sur le Canon EOS.</t>
  </si>
  <si>
    <t>Très bien. Bon rapport qualité / prix Produit plus grand et plus long que celui acheté dans le commerce</t>
  </si>
  <si>
    <t>Produit tout à fait conforme ! Contrairement aux nombreux commentaires, ce produit est tout à fait conforme. Il s'agit bien d'une recharge System express + donc avec un trou au milieu pour permettre l'essorage...et heureusement !!! Il suffit de bien lire ce qui est écrit et d'acheter un produit en adéquation avec le kit de base..............</t>
  </si>
  <si>
    <t>Belle casquette Très belle casquette pour mon ado ! Elle est aussi jolie en gris quand bleue</t>
  </si>
  <si>
    <t>Superbes ! La livraison est ultra rapide, J'ai reçu le colis 5 jours avant la date prévue !.  Les chaussures sont magnifiques, exactement comme dans le descriptif .  Elles taillent effectivement  petit. il faut bien prendre, comme conseillé, 1 taille au dessus de sa pointure habituelle ; je chausse du 37.5 j'ai pris du 38 2/3 et c'est bien. Ce sont des chaussures de fitness à la base,  mais leur finesse et leur legereté les rendent tres agreables à porter au quotidien.</t>
  </si>
  <si>
    <t>Qualité et protection Pour basket</t>
  </si>
  <si>
    <t>massage pieds très contente de cet appareil qui permet de vous faire du bien aux pieds grâce à ses multiples fonctions sa fonction de chauffe fait vraiment la différence car on se sent vraiment bien assis au fond de son fauteuil et changer de fonction grâce à sa telecommande et cela est agréable la appareil est très designe et les housses des pieds sont lessivables afin d avoir plusieurs utilisateurs</t>
  </si>
  <si>
    <t>Top Acheté avec l'offre panier plus 3€ piece, nickel pour le delais de reception. Ce produit est vraiment genial, je fais seulement cuisse de poulet pour l'instant, elles sont tendres a souhait bien cuites... Et en plus qyasi pas de vaisselles un gain de temps appréciable!</t>
  </si>
  <si>
    <t>Parfait, valeur sûre Livré rapidement, ce sont les seuls biberons que ma fille prend et ils conviennent parfaitement. Couleur neutre et motifs plutôt mignon .</t>
  </si>
  <si>
    <t>TRES BON PRODUIT Feuilles super white et très bonne épaisseur.  Bonne tenue.</t>
  </si>
  <si>
    <t>TRÈS BIEN RAS reçu rapidement. Un t-shirt Nike léger et confortable.</t>
  </si>
  <si>
    <t>Top Comme sur la photo en espérant que ça tienne le coup !</t>
  </si>
  <si>
    <t>Transaction parfaite. Ayant eu des problèmes de coupures notamment avec le RS 120, j'ai contacté Seinnheiser le SAV et j'ai eu la chance d'avoir un correspondant compétent qui m'a aidé à choisir le casque en fonction de mes besoins ainsi que des accessoires recommandés. Depuis l'achat et l'installation du RS 175 je n'ai plus aucun problème.</t>
  </si>
  <si>
    <t>Arrivé très vite et qualité très bonne. Très satisfaite. Je recommande. Arrivé très vite et qualité très bonne. Très satisfaite. Je recommande.</t>
  </si>
  <si>
    <t>Finition cheap... Bien moins jolie en vrai que sur la photo. Petite taille, et finition très cheap... En même temps vu le prix... Marche correctement.</t>
  </si>
  <si>
    <t>EarPods gauche ne fonctionne pas EarPods gauche ne fonctionne pas</t>
  </si>
  <si>
    <t>Il me faut  41,5 Ça  me fait mal au pieds</t>
  </si>
  <si>
    <t>A voir Article en apparence d'assez belle qualité, mais il faut voir à l'usage. Fermeture/ouverture moyennement pratique. Cuir vraiment brillant. Attendons après quelques temps d'utilisation.</t>
  </si>
  <si>
    <t>robe sans manche Cette petite robe d été est belle et bien taillée. la couleur et les motifs imprimes plaisent beaucoup à ma mère. je conseille cet achat</t>
  </si>
  <si>
    <t>grille pain grillage du pain de mon petit dejeuner.</t>
  </si>
  <si>
    <t>Mitigée La bouilloire est bien mais elle est quand même un peu bruyante et surtout le câble d'alimentation est un peu court</t>
  </si>
  <si>
    <t>Bien Bonne qualité prix</t>
  </si>
  <si>
    <t>Economique, efficace et de qualité J'utilise ce masque pour ma peau grasse et pour réguler la production de sébum. Mes conseils : à appliquer 3 fois par semaine en phase d'attaque puis en entretien 1/semaine. Le remède le plus naturel pour nettoyer sa peau ! :-) Bon achat...</t>
  </si>
  <si>
    <t>RAS Le produit est de qualité et correspond a se que j'attendais.</t>
  </si>
  <si>
    <t>les pieds au chaud j'ai toujours froid aux pieds et suis souvent devant l'ordinateur donc j'ai vu ces chaussons et me suis dit que c'était l'idéal . effectivement, c'est efficace :j'ai les pieds au chaud même sans chaussettes . ils ne sont pas faits pour marcher car ils sont instables mais c'est le top lorsque l'on reste assis ou que l'on ne fait que quelques pas .je vous les recommande</t>
  </si>
  <si>
    <t>Economique Pour nettoyage terrasse et autres. Très puissant le top. Ultra eco car concentrè.</t>
  </si>
  <si>
    <t>Jolie Bien juste un peu trop grande</t>
  </si>
  <si>
    <t>Tout simplement parfait. Superbe montre elle très légère, la recharge solaire fonctionne à merveille et le réglage radio piloté est tout simplement parfait ! Toujours une montre bien réglée et plus de changement de piles que du bonheur !</t>
  </si>
  <si>
    <t>Lessive Cette lessive sent vraiment bon</t>
  </si>
  <si>
    <t>Je recommande Très suprise de la qualité du produit. Le son est plutôt très bon. La connexion bluetooth est facile et fonctionne très bien. Possibilité de mettre une carte sd directement dans le casque ce qui est très appréciable. Le tout très bien emballé et livré très rapidement</t>
  </si>
  <si>
    <t>Article conforme à la description Très bon produit !</t>
  </si>
  <si>
    <t>Rien à dire... si ce n'est que ces chaussettes sont très agréables à porter, très confortables et taillent bien. En résumé, très bien, à recommander.</t>
  </si>
  <si>
    <t>Conforme Pas encore utilisé. A voir dans le temps.</t>
  </si>
  <si>
    <t>Confort et détente Confortable et bonne qualite</t>
  </si>
  <si>
    <t>Très bien Cool</t>
  </si>
  <si>
    <t>Sobriété Voici une montre qui correspond très bien à la description faite sur le site. Montre sobre, bien finie, très classique mais très "classe". Envoi rapide et colis bien emballé.</t>
  </si>
  <si>
    <t>Vraies pierres . Belle facture . Joli rendu . Happy ! ( taille mixte , attention petits poignets ) Livraison en avance . Vraies pierres . Belle facture . Joli rendu . Happy ! ( taille mixte , attention petits poignets )</t>
  </si>
  <si>
    <t>Insatisfaite Pour les douleurs de dos et nuque, pas du tout satisfaite, on ne ressent rien avec les picots du tapis,</t>
  </si>
  <si>
    <t>Cafetière Luna Ce produit n’a jamais fonctionné! Affichage «&amp;nbsp;erreur 02&amp;nbsp;»!</t>
  </si>
  <si>
    <t>Pas taille adapté Je chausse un petit 38 et là, ils proposaient un 37/38. Malheureusement la taille est trop petite. Pas jolie quand on a les pieds qui dépasse</t>
  </si>
  <si>
    <t>Un peut déçu Fuit un peu.</t>
  </si>
  <si>
    <t>Bien Rien à redire. Très pratique.</t>
  </si>
  <si>
    <t>Sacoche Personnelle</t>
  </si>
  <si>
    <t>Belle chaussures Ses chaussures m ont accompagné de nombreuses années, c était ma deuxième paire j aimais beaucoup la couleur bordeau. Au bout d un certain temps et après un usage intensif la semelle à commencé à se détacher et s user au point qu un trou se forme et les rendent inutilisable; rien d anormal pour les chaussures de ce genre après un certain temps. Je recommande quand même.</t>
  </si>
  <si>
    <t>ras ras</t>
  </si>
  <si>
    <t>Très pratique. Ensemble très pratique cette produit. Je recommande vivement .</t>
  </si>
  <si>
    <t>Parfait Article arrivé et déballé = tout semble parfait et il me convient parfaitement pour le prix. Pas encore utilisé car le bébé de 4 mois arrive fin juillet.</t>
  </si>
  <si>
    <t>Super bouilloire Super pour les amateurs de thé ! On peut régler la température . Elle est très silencieuse et jolie . Contente de mon achat.</t>
  </si>
  <si>
    <t>Petite sacoche Eastpak Exactement ce que je cherchais pour transporter ma phablette Asus ZenFone 2 qui est très bien protégée. J'y ajoute différents accessoires: kit main libre, câble de chargement avec la prise secteur...</t>
  </si>
  <si>
    <t>Très satisfaite Bouilloire attendu car plus en stock pendant plusieurs mois, mais très contente d'avoir pu la commander ! La seule pour plaque à induction avec un design moderne qui ne fait pas mauvaise allure ! Temps de chauffe très rapide, siffle bien et poignée non chaude ! Je recommande !</t>
  </si>
  <si>
    <t>Belle montre - tres bon rapport qualité/prix Utilisation journalière. Look digne d'une montre de grande marque.</t>
  </si>
  <si>
    <t>super chaussures!!! de vrais pantoufles,excellent produit</t>
  </si>
  <si>
    <t>Remplace le balai !! &lt;div id="video-block-R34WYXOFQZ4VQN" class="a-section a-spacing-small a-spacing-top-mini video-block"&gt;&lt;/div&gt;&lt;input type="hidden" name="" value="https://images-eu.ssl-images-amazon.com/images/I/81j5YkGzIOS.mp4" class="video-url"&gt;&lt;input type="hidden" name="" value="https://images-eu.ssl-images-amazon.com/images/I/81j-7qPkgcS.png" class="video-slate-img-url"&gt;&amp;nbsp;Aspirateur très pratique , il remplace complètement le balai , très maniable, il aspire bien et  il a un  design plutôt sympa ! Le petit aspirateur est super facile d’utilisation aussi pour le nettoyage des voitures !</t>
  </si>
  <si>
    <t>Protection assurée. Article satisfaisant. Pièces fragiles protégées pour déménagement. Très satisfaite.</t>
  </si>
  <si>
    <t>Géniale ! D'après moi c'est vraiment pratique,jolie et géniale Merci</t>
  </si>
  <si>
    <t>La chaleur provoque de la détente J'utilise ce coussin chauffant pour détendre le bas de ma colonne vertébrale car j'ai des problèmes de dos. Je m'en sert tous les jours  et ça calme bien mes douleurs. J'en suis très satisfaite.</t>
  </si>
  <si>
    <t>Indémodables Des baskets indémodables, un modèle au look simple mais toujours réussi. La qualité est tout à fait correcte pour ce type de produit, et niveau confort rien à redire ! Concernant la pointure, elles taillent tout à fait juste. Prenez votre pointure exacte.</t>
  </si>
  <si>
    <t>Parfait pour un budget moins élevé que le qc35 de chez Bose ! Casque imercif pour des sensations en 360 ! La réduction de bruit sans son est déjà très bon mais quand on met la musique on entend plus rien sauf la musique qui est très bonne avec une bonne expérience d'écoute ! Reste plus que les réglages a pofiner ! J'apprécie le fait de pouvoir désactiver la réduction de bruit ! Manque plus que les boutons tactile ! Malgré le son, on entend encore un peu le son environnement !</t>
  </si>
  <si>
    <t>parfait fonctionne correctement et délai de livraison rapide</t>
  </si>
  <si>
    <t>ECOURTEURS SANS FIL POUR SMART TV Excellent. Se connecte vraiment très facilement. Le transmetteur se met en route immédiatement à l'aide du câble USB et pour moi du câble optique sur un Smart TV. Écouteurs très légers reconnus immédiatement Bluetooth (voyant bleu de l'émetteur et du receveur câble écouteurs). Couper le son sur la télécommande de la TV (mute). Le son est claire. Le son n'est pas aussi bon qu'un casque HIFI traditionnel mais on évite le poids et la chaleur sur les oreille. Pour des personnes portant des lunettes c'est un avantage. Nombreux câbles de connections et très bon emballage. J'en ai offert un à une personne âgée qui est ravie.</t>
  </si>
  <si>
    <t>Satisfait Pas mal</t>
  </si>
  <si>
    <t>Pas terribles,😠 Ne tien pas au bout de 4 jour tout mes tableaux on finit par terre  et en mettant quand même 4 languette par tableaux  sur le pack dit jusqu'à 7kg 😕 les miens ne pèse pas plus de 360g je suis vraiment déçu de ce produit et bien évidemment vu que je les est accroché sa va être compliqué de se faire rembourser donc de l'argent gaspillé</t>
  </si>
  <si>
    <t>Je ne recommande pas Produit non conforme à la description pas la bonne matière et ne tient pas bien au cheville</t>
  </si>
  <si>
    <t>Une montre bien pratique Montre très pratique avec ses nombreuses fonctions et son mode vibreur. J'aime l'ergonomie des boutons de commandes, la qualité de l'éclairage, la facilité de réglage de l'heure. Je n'aime pas la hauteur excessive du boîtier. Prix bas et donc une bonne affaire. Service marchand et délai de livraison impeccables.</t>
  </si>
  <si>
    <t>Polar hiver Produit moyen. Taille correcte, mais boursouflure sur le tissu !</t>
  </si>
  <si>
    <t>Bague mixte. Très belle bague solide grande qualité, belle finition. Facile de trouver la taille avec le tableau fourni.</t>
  </si>
  <si>
    <t>Un cadeau qui a plu. Celle a qui j’ai offert ces baskets en a été ravie.</t>
  </si>
  <si>
    <t>Super Acheté bracelet pour douleur articulaire.  Depuis 1 mois je ressens du mieux. Moins de douleurs musculaires Je suis super ravie.</t>
  </si>
  <si>
    <t>Je recommande Produit de bonne qualité je recommande</t>
  </si>
  <si>
    <t>Super 👍 Indémodable 👍 je ne les quitte pas et va avec tout 😉</t>
  </si>
  <si>
    <t>livraison rapide _ efficacité à vérifier dans le temps Livraison rapide et conforme à ce qui était annoncé. J'ai acheté ce produit afin de faire fuir les éventuels oiseaux qui ravagent mes cerisiers. Efficacité à valider dans le temps, pour le moment, c'est impossible de juger.</t>
  </si>
  <si>
    <t>Lampe pratique et bien conçue C’est une petite lampe compacte (14 x 14 x 4 cm) et légère (env. 400 grammes). Elle se branche sur le secteur, ou sur sa batterie incorporée (environ 4 heures de charge pour une heure d’utilisation). La notice d’utilisation fournie est très claire et complète. D’un design passe-partout, la lampe est très bien finie, très simple à utiliser : un bouton pour la mettre en marche, et deux boutons pour régler la puissance d’éclairage. Le pied sur lequel elle repose n’est pas très stable, mais cela reste acceptable. Je l’utilise tous les jours une vingtaine de minutes, entre 9 H et 10 H du matin, depuis 3 semaines, et cela ne me pose aucune contrainte… je suis retraité, mais je pense que dans un bureau, son utilisation ne devrait pas perturber votre entourage. Vu son encombrement et le fait qu’elle soit rechargeable, elle peut être emmenée partout (Une poche de rangement est prévue). Concernant sa réelle efficacité, je peux difficilement me prononcer : je n’ai pas de problème de déprime, et je dors correctement. Effet placebo peut-être, mais je me sens très actif pendant la journée depuis que j’utilise cette lampe… Pour ceux qui ne connaissent pas la luminothérapie, et ses effets positifs contre la dépression saisonnière et les troubles du sommeil, je leur conseillerais de lire les articles à ce sujet sur internet, et d’en parler à leur médecin : son jugement sera certainement plus précis que le mien.</t>
  </si>
  <si>
    <t>Parfait pour la sécurité Conforme à l'attendu. A recommander pour ceux qui travaillent avec des pierres, des parpaings à la maison !</t>
  </si>
  <si>
    <t>Mystic J'utilise ce produit pour parfumer des pièces et faire en sorte que mon chat n'urine pas a certains endroits. Je recommande !!!</t>
  </si>
  <si>
    <t>Super bouilloire ! Je recommande J’ai acheté cette bouilloire car elle donne la température de l’eau, indispensable pour faire un bon thé. Son design rétro est très chic. Je recommande vivement.</t>
  </si>
  <si>
    <t>Collier cœur argent Je viens de recevoir ce jolie collier vraiment jolie il est très fin reçue avec une boîte a bijoux très bien présenté je ne regrette pas de lavoir acheter bien au contraire je recommande vivement pour un effet Cadeau. 😃</t>
  </si>
  <si>
    <t>RAPPORT QUALITE PRIX PARFAIT</t>
  </si>
  <si>
    <t>C'est  bon Cartouches d'encre de bonne qualité. RAS</t>
  </si>
  <si>
    <t>Surprenant Par rapport a l'encombrement, le son est très bon, les basses sont présentes mais saturent un peu au volume maximum. La housse rigide et le câble de sont de bonne qualité. L'appairage bluetooth est simple, il suffit de laisser le bouton central enfoncé quelques secondes. La portée bluetooth avec le téléphone permet de s'éloigner d'une dizaine de mètres sans perte de signal, top! Il est très stable sur les oreilles, aucun soucis pour courir avec. Je recommande!</t>
  </si>
  <si>
    <t>Pour mon père Commandées pour mon père qui est un adepte de cette marque, elles sont parfaites pour un prix très correct !!</t>
  </si>
  <si>
    <t>top mode cadeau  d anniversaire pour jeune femme 23 ans elles est ravie</t>
  </si>
  <si>
    <t>Le top ! Ma première montre casio. Je l'ai acheté par curiosité et j'en suis ravi. Montre très discrète (on oublie qu'on la porte tellement qu'elle est fine), à les fonctions de base (chrono, date, lumière, étanche) et le petit "bip" à chaque heure est pratique.</t>
  </si>
  <si>
    <t>Très bon produit Très pratique. Reçu très vite. Se nettoie facilement</t>
  </si>
  <si>
    <t>TEMPéRATURE DE LA MER Je nage beaucoup et longtemps, en début de saison et à l'arrière saison, en combinaison si nécessaire. Il est important pour moi de connaître la température de l'eau, suivant la météo. Cette montre répond à mes attentes, facile d'emploi, (notice explicative en français), chiffres très lisibles, bracelet souple qui s'adapte à mon petit poignet. (je suis une femme). Mais ce modèle comporte d'autres applications... Je recommande</t>
  </si>
  <si>
    <t>Pas de son Le son est très léger et pourtant la charge est à 100%</t>
  </si>
  <si>
    <t>Remboursée ou échangé ? Menteau recut trop grand et recut avec la moumoute de la capuche colplètement tachée.</t>
  </si>
  <si>
    <t>Non-recommandé. Joli petit bouilloire; dommage que l'interrupteur ne marche plus avec deux utilisations. Je vais essayer de demander qu'il soit remplacé. Fabriqué en Chine, bien sur.</t>
  </si>
  <si>
    <t>Conformes et agréables à porter, mais un peu légères (fragiles) Biens finies, douces et agréables à porter, mais je ne pense pas qu'elles feront très long feu car tissage un peu léger et talons guère renforcés. Pas mécontent, mais j'attendais un peu mieux de Puma en terme de résistance et tenue dans le temps</t>
  </si>
  <si>
    <t>Très belle montre résistante Montre parfaite pour moi qui découvre l'univers des G-Shock. Elle fait parti de l'héritage de cette marque.  Très facile à utiliser, même sans lire le manuel.  Un seul regret, je l'ai reçu avec une micro rayure sur l'écran mais cela ne se voit que d'assez près donc inutile de la renvoyer.  Envoi très rapide et prix le moins cher par rapport à boutiques physiques.</t>
  </si>
  <si>
    <t>bon produit parfait pour les balades en foret  , faire du sport il est doux et chaud et a une belle coupe</t>
  </si>
  <si>
    <t>pas cher et très bon Ce micro est idéal pour réaliser ce que je voulais faire. je souhaitais améliorer les enregistrements video de formation que j'effectue avec un logiciel de capture d'écran, et ce Bird UM1 usb se connecte parfaitement avec le mac, et fonctionne tout de suite. La qualité du son est extrèmement bonne pour ce type d'usage. Il n'y a rien à redire sur la fabrication. Il faudra sans doute acheter un filtre anti-plosive pour faire de mes enregistrements un vrai succès.</t>
  </si>
  <si>
    <t>Bien sauf bouchons Petit prix pour deux pack de feutres. Seul bémol les bouchons tiennent très mal, donc il faudra sans cesse passer derrière vos enfants pour vérifier. Après les mines fines sont quand même solides. Large choix de couleur.</t>
  </si>
  <si>
    <t>Impeccable Super et très belle</t>
  </si>
  <si>
    <t>Je le conseille Sympas léger et bonne qualité pour le prix</t>
  </si>
  <si>
    <t>Tapis Tapis</t>
  </si>
  <si>
    <t>Colle parfaitement Rien à redire</t>
  </si>
  <si>
    <t>Converse Bien taillé, nickel confortable</t>
  </si>
  <si>
    <t>Parfait ! Très belles chaussures elles scintillantes et elles sont rehaussées comme je voulais. Pour ma part je fais du sport avec et c'est nickel car je ne supporte pas les baskets plates.</t>
  </si>
  <si>
    <t>Satisfaite Convient parfaitement en 2-3-4 mm pour les piercings très rapprocher comme les miens, pas d'allergies, les fermoirs sont biens, je suis très satisfaite</t>
  </si>
  <si>
    <t>Faciles d’entretien et résistantes Excellente chaussette pour la marche active</t>
  </si>
  <si>
    <t>Simple mais efficace Livraison rapide. A peine arrivé il a été testé ! son design style bois lui donne un style agréable Il suffit de mettre de l'eau quelques gouttes d'huiles essentielles et il remplit sa fonction. Il diffuse une petite vapeur donc attention aux supports en dessous et peut être mis en fonction avec une petite lumière. très facile à utiliser</t>
  </si>
  <si>
    <t>Ravie Très bien, j'en suis contente! Je dois ouvrir le capuchon pour obtenir la température désirée mais cela va très vite. Elle est belle et l'avantage c'est qu'on peut choisir nimporte quelle température que lon souhaite !</t>
  </si>
  <si>
    <t>Lessive fait pour les problèmes cutanées ou d'allergie Mon fil fait beaucoup de réaction cutanée mais avec la lessive paillette plus de souci...a doser car laisse facilement un dépôt blanc dans la machine.</t>
  </si>
  <si>
    <t>All 972 Lourd comme dab</t>
  </si>
  <si>
    <t>Casque de très bonne qualité Casque parfait rien à critiquer ! Casque confortable..isolant bien le.bruit environnant.</t>
  </si>
  <si>
    <t>magnifique cadeau ce bracelet en cristal Améthyste Swarovski est livré dans un élégant coffret cadeau bijoux, je l'ai offert a ma femme pour l'occasion d'anniversaire mariage, et elle était aux anges.. C'est un très joli bracelet, Bijoux en cristal élégants, Il est de très bonne qualité (le temps le confirmera). très agréable et donne un excellent effet au poignet. ma femme est ravie ! À ce prix , facile de faire plaisir.</t>
  </si>
  <si>
    <t>Parfait pour préchauffer la partie du dos dans le lit avant de se coucher Parfait pour préchauffer la partie du dos dans le lit avant de se coucher La température est agréable , elle mériterait d'être un peu plus chaude, surtout que c'est prévu (pour moi) pour préchauffer la partie du lit, où se trouvera le dos. Il faut impérativement mettre la température au maxi c. à d.: 3</t>
  </si>
  <si>
    <t>Arrivées cassées Très jolies boucles d'oreilles, très fines mais arrivées cassées du coup je ne peux pas les mettre, dommage car elles me plaisaient beaucoup.</t>
  </si>
  <si>
    <t>Roland non le produit est tres mal cousu au niveau des coudes</t>
  </si>
  <si>
    <t>sabot de bon sabot en bois et cuire ,taille correctement maintenant a voir sur le long terme pour la qualiter sinon vu comme sa a l aire de bonne qualité</t>
  </si>
  <si>
    <t>Produit correct moyen La couleur sur les photos imprimées ne gardent pas leur vivacité d'origine. Les photos ne restent pas plates. Elles se vrillent.</t>
  </si>
  <si>
    <t>Taille grand, Belle qualité Acheté pour mon fils de 13 ans en S, porté par mon compagnon qui porte normalement du L. Un peu grand, mais sinon beau produit, belle qualite. Satisfaite, mais pas pour le bon porteur.</t>
  </si>
  <si>
    <t>Assez cher mais qualité correcte Aucun souci au niveau de la commande, la livraison est rapide, le produit bien emballé. Mais ces cartouches sont assez chères, même si je préfère utiliser des cartouches HP plutôt que des cartouches "non authentiques", la qualité est bonne mais pas exceptionnelle. Je n'ai pas compté le nombres de pages que nous imprimons avec un ensemble de cartouche noir/couleurs, mais il me semble que ce n'est pas énorme. Cependant la différence entre la cartouche "normale" et la cartouche "XL" se remarque.</t>
  </si>
  <si>
    <t>Un livre à mettre entre toutes les mains Les textes sont un peu trop minimalistes peut-être, mais les illustrations sont vraiment magnifiques,originales et pleines de créativité, ce qui est précieux pour évoquer celle des femmes! Toutes sortes de femmes, et pas seulement des héroïnes politiquement correctes car même Mme Thatcher y figure: pas de raison! l'égalité des sexes c'est aussi donner aux femmes le droit d'être aussi dures que les hommes!</t>
  </si>
  <si>
    <t>Bien Fait sont job.</t>
  </si>
  <si>
    <t>Biovie Savon Noir Liquide à l'Huile de Lin 1 L - Lot de 2 Bon produit ,efficace ,lavage ,et utilisation correcte.</t>
  </si>
  <si>
    <t>Parfait Je voulais depuis un moment une montre casio. Je trouve celle la tres jolie, élegante, habillée. Elle est facilement réglable et s'adapte à tout type de poignet !! Confortable, elle se marie avec n'importe quel type de tenue. Elle resiste à quelques gouttes d'eau type si vous vous lavez les mains avec ou faite la vaisselle ou qu'il pleut dehors, aucun soucis !!</t>
  </si>
  <si>
    <t>Recommande Nikel</t>
  </si>
  <si>
    <t>sacoche poitrine j'en suis tres content et vraiment pratique pas encombrant quant on la sur soit super produit</t>
  </si>
  <si>
    <t>Très confortable Impecable je chausse du 39 j'ai pris 39 et elles vont très bien. Très condortable</t>
  </si>
  <si>
    <t>Des chaussons pour randonnée Hyper confortables. Très bonne semelle qui permet de tout franchir. Donne un jolie style en plus.</t>
  </si>
  <si>
    <t>Excellent produit Le pied est fort heureusement doté de dispositifs de serrage. Le poids de ce micro est parfait pour le bras en extension maximale. Très agréablement surpris par la bande passante du micro qui pour mon oreille est parfaite. Très bonne facture surtout à ce prix-là. Avant que les questions n'arrivent : Oui, il lui faut une alimentation phantom sinon pas de son ! Il est préférable de remplacer le Jack 3,5 en bout de câble par un connecteur XLR Mâle. Je recommande vivement.</t>
  </si>
  <si>
    <t>Très belles boucles Très jolie créole argent. Elle sont très fine et discrète tout en étant grande. L'avantage très légère à porter donc ça ne déforme pas le lobe de l'oreille. Le fermoir est coulissant est facile à fermé.</t>
  </si>
  <si>
    <t>Top Très bien et livraison rapide</t>
  </si>
  <si>
    <t>Parfait Étanche, pratique, solide. Fait parfaitement son travail. Et résistant. Caoutchouc de bonne qualité qui résiste aux à-coups. Bon produit .</t>
  </si>
  <si>
    <t>Parfait On a commandé celui en 330ml car 270 ça faisait juste. On adore Dodie et ses animaux. Tétine solide. Je recommande.</t>
  </si>
  <si>
    <t>Confortables et bien ajustés Shorty très agréable à porter de par la matière et la coupe. Il prend bien la taille sans écraser le ventre et monter trop haut et descend bien juste à peine au-dessus de la mi cuisse. Un shorty digne de ce nom et non pas un panty. Parfait !</t>
  </si>
  <si>
    <t>Idée cadeau anniversaire Ces feutres ont eu un bon succès pour l'anniversaire de ma fille ! Original, cela change des bonbons !</t>
  </si>
  <si>
    <t>super confortable Je men sert tout les jours au travail elles sont super</t>
  </si>
  <si>
    <t>Très belle chaussure mais chaussent grands Chausse trop grande</t>
  </si>
  <si>
    <t>Bof je l’ai retourné Pour les appels ça a été un désastre mon interlocuteur ne m’écoutait pas et ça coupait tellement.</t>
  </si>
  <si>
    <t>Me faire rembourser ! J'ai utilisé les baskets 2 mois, uniquement de manière urbaine. Pas de sport. Un vrai scandale. Troué à la semelle, elles prennent l'eau, je n'ai jamais vu ça !</t>
  </si>
  <si>
    <t>Très déçu Au bout d un moi cable HS espère un geste du vendeur pour reprendre son produit</t>
  </si>
  <si>
    <t>commander d'une boite de 12 pierres et ils manquent l'Agathe et la sodalite IL manque deux pierres dans la boîte et c'est décevant pour ma petite fille qui adore collectionner ces pierres. Pouvez-vous l'échanger? Merci de me tenir au courant.</t>
  </si>
  <si>
    <t>Qualité très moyenne. Très esthétique ! Mais un peu longue pour chauffer l'eau.</t>
  </si>
  <si>
    <t>Attention c'est petit! Mon redmi note 5 tient tout juste dans les poches zippées et ne rentre pas dans la poche frontale aimantée. Aimant qui est très faible voir même anecdotique. J'y mets téléphone, portefeuille et clés, je ne pourrais pas mettre plus. C'est ce que voulais donc ça tombe bien ! 4 étoile car ça fait le taf et c'est pas trop moche pour un petit prix.</t>
  </si>
  <si>
    <t>tres belle Hotte tres belle et efficace , silencieuse , et pas cher , que demander de plus ?</t>
  </si>
  <si>
    <t>Trés bien , facile à utiliser A voir sur la durée si cela aide vraiment le mal de jambes...</t>
  </si>
  <si>
    <t>produit conforme pour son prix il absorbe bien et ne se déchire pas trop vite</t>
  </si>
  <si>
    <t>Bon produit Je l'utilise pour la première fois pour faire ma lessive maison c'est un bon produit</t>
  </si>
  <si>
    <t>Parfait ! C'est dans cette boutique que j'ai trouvé le meilleur tarif et mon produit a été envoyé très rapidement et très bien protégé. C'est tout ce que j'attendais de mieux, parfait !</t>
  </si>
  <si>
    <t>Rapport qualité-prix imbattable Moins cher que sur puma.fr ou autre commerces Très bonne qualité</t>
  </si>
  <si>
    <t>CARTON DE 20 CARTOUCHES D'ENCRE Très bonnes cartouches d'encre. Attention au carton d'emballage trop juste: il a dû être recollé dans les locaux du transporteur. Il vaut mieux envoyer deux cartons de 10 groupés.</t>
  </si>
  <si>
    <t>top tres bon rapport qualite / prix</t>
  </si>
  <si>
    <t>Validé Grand et pas moche.</t>
  </si>
  <si>
    <t>Rendre l'éclat au linge blanc Le linge blanc devenu gris a retrouvé tout son éclat très  satisfaite de ce produit.</t>
  </si>
  <si>
    <t>génial ce leggings peut etre portés comme pantalon, ou pantalon de sport, s'adapte très bien au physique, ne glisse pas, tiens bien à la machine!</t>
  </si>
  <si>
    <t>bottes Bonjour super contente de mon achat, mon fils est ravi!!! pour balades et bricolage jardin, très bonne finition et bon produit!  merci</t>
  </si>
  <si>
    <t>parfait et confortable Il est parfait, il taille bien et il est très confortable a porter. Je le recommande vivement. Je n'ai pas regretté mon achat</t>
  </si>
  <si>
    <t>Une odeur de propre 1 berlingot pour une grosse machine (ma machine est une 7 kilos)... je n’y croyais pas trop. D’autant que mon linge était trèèèès sale. Bref, 6-7 kilos de linge très sale, un programme «&amp;nbsp;mixte&amp;nbsp;» à 30 degrés, un berlingot de lessive et mon linge est ressorti nickel avec en prime, une odeur de propre (oui oui, je sais que c’est chelou de parler d’odeur de propre 🙄🤔)... je disais donc AVEC UNE ODEUR DE PROPRE. En plus, la boîte est super pratique. J’adore</t>
  </si>
  <si>
    <t>Magnifiques! Confortable et jolies, elles se prêtent très bien à une tenue casual.  À un prix défiant toutes concurrences. Je recommande!</t>
  </si>
  <si>
    <t>Conforme Très beau bracelet, et qui a bien les effets décrits. Pourtant je n'y croyais pas trop... Je ne le quitte plus !</t>
  </si>
  <si>
    <t>A voir pour ce qui est de la résistance des arches Rien à redire des évolutions en terme de réduction de bruut par rapport à l'ancien modèle, reste a voir ce que cela donne au niveau de la durabilité car le précédent modèle très fragile sur la structure péter rn moins de 2 ans pas terrible</t>
  </si>
  <si>
    <t>Super montre Reçu la montre en temps et en heure. Identique à description.</t>
  </si>
  <si>
    <t>contrefacon contrefacon</t>
  </si>
  <si>
    <t>Moteur HS au bout d'un mois Certes bien pratique pour mélanger le lait infantile épaissi, mais le nettoyage est délicat si l'on ne veut pas déformer la tige du mélangeur qui se tord malgré le suivi des recommandations du manuel. Gros point négatif : le petit moteur du mélangeur est mort au bout d'un mois d'utilisation !</t>
  </si>
  <si>
    <t>Mauvaise recommandation de Amazon Ce produit n'est pas adapté au micro NT USB que j'ai acheté. Impossible de monter le pop shield du micro sur le support, et impossible d'accéder aux boutons de réglage du micro une fois monté sur le support. Merci Amazon de m'avoir fait dépenser mon argent pour rien</t>
  </si>
  <si>
    <t>Très jolie mais douloureuse Chaussure bien taillé (je fais un 37/38 j'ai pris un 38), très jolie, véritablement blanche. Gros point négatif : elles tiennent mal au niveau du talon et glissent en marchant ce qui crée un frottement permanent et les ampoules qui vont avec. A prévoir pour la première semaine : des pansements et de la patience</t>
  </si>
  <si>
    <t>Un peu deçu Bof.. vue le prix je ne m'attendais pas au top du top de la qualité.. Mais j'espérais quand même un peu mieux. Le casque semble fragile, et le son n'est pas terrible. Enfin bon au vue du prix je recommande quand même</t>
  </si>
  <si>
    <t>Très bon produit et qualité prix. Très bien pour les clefs papier téléphone portable et même des fois sandwich.</t>
  </si>
  <si>
    <t>Très bien mais Taille très étroit Taille tres étroit , donc d’une certaine façon petit. Selon votre coup de pied et largeur de pied, commander une voire deux demi tailles au dessus. Sinon très confortable et bon maintien. Dommage que ce soit fabriqué en Asie du sud est.</t>
  </si>
  <si>
    <t>Ravi Bonne qualité!</t>
  </si>
  <si>
    <t>Très bon mais attention aux finissions Respecte la compatibilité promise par le constructeur. L'esthétique du micro est très belle. Cependant, les finissions ne sont pas très belles, quelque fils qui dépassent. Cela reste tout de même un très bon produit.</t>
  </si>
  <si>
    <t>Vraiment pas mal. Fonctionne parfaitement sur mon imprimante EPSON DWF 2650. Effectivement l'imprimante détecte que ce ne sont pas des cartouches de marque mais il suffit de lui dire qu'on veut tout de même continuer. La qualité des couleurs est clairement pas aussi bonne que pour les cartouches originales mais bon quand on n'imprime qu'en noir et blanc, pour le prix il ne faut pas se priver.</t>
  </si>
  <si>
    <t>Qualité d'impression à bas prix Edit au 18 novembre: Contrairement à beaucoup d'avis négatif sur le produit, je le possède depuis mai, j'ai fait 314 impression et il me reste toujours 64% d'encre. Sachant que j'imprime toutes mes factures avec le logo, donc avec mon utilisation franchement je pense être pas loin des 1k de pages sans trop de problèmes.  Fin mai: On retrouve la qualité des toner Samsung, vu que s'en est un, il fonctionne bien, a une vrai bonne capacité d'impression, contrairement à des produits compatible, et il ne bave pas. Super</t>
  </si>
  <si>
    <t>Chaussettes nike Super rapide je recommande</t>
  </si>
  <si>
    <t>Article de qualité Design et qualité de la sacoche incroyable.</t>
  </si>
  <si>
    <t>Couette super Acheter pour l'hiver car je suis une très grande frileuse au points que je dois dormir avec 2 bouillote. J'en avais marre de les faites le soir j'ai donc opté pour l'option de la couverture chauffante. Nous avons un lit de 2x80 du coup la couverture est juste sur mon lit mon mari apprécie vu que lui a toujours chaud. Le coter gris est tout doux ce qui est très agréable moi j'adore. Le H sur le boitier est la puissance maximale. La couverture chauffe en 1h est après elle se mets 1. Facile d'utilisation la 1er fois.  Je crois que personnellement je ne pourrais plus m'en passer je l'adore</t>
  </si>
  <si>
    <t>Super pour de multiples utilisations &lt;div id="video-block-R1GT9H3CYH16DA"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id="7" preload="auto" src="https://images-eu.ssl-images-amazon.com/images/I/B163CipKONS.mp4" style="position: absolute; left: 0px; top: 0px; overflow: hidden; height: 1px; width: 1px;"&gt;&lt;/video&gt;&lt;/div&gt;&lt;div id="airy-slate-preload" style="background-color: rgb(0, 0, 0); background-image: url(&amp;quot;https://images-eu.ssl-images-amazon.com/images/I/91vaBEfmJYS.png&amp;quot;);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center;"&gt;0:41&lt;/div&gt;&lt;div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5.83201%;"&gt;&lt;/div&gt;&lt;div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value="https://images-eu.ssl-images-amazon.com/images/I/B163CipKONS.mp4" class="video-url"&gt;&lt;input type="hidden" name="" value="https://images-eu.ssl-images-amazon.com/images/I/91vaBEfmJYS.png" class="video-slate-img-url"&gt;&amp;nbsp;Je ne vais pas vous refaire tout le descriptif technique, il est complet. Cet ampli avec 2 microphones fonctionne à merveille. Branchement simplissime, cela m'a pris 2 minutes. Les réglages sont aussi simples que le branchement. Réglage des basses, trèbles et fonction Echo. Les 2 micros ont chacun leur bouton de réglage du son. La portée est raisonnable, pour ma part je me suis promené dans toutes les pièces de la maison et pas de problème de perte. Branché sur ma chaîne HIFI, ne pas oublier le câble RCA Audio qui n'est pas fourni. Les micros fonctionnent avec 2 piles AA non fournis. La notice n'est pas en Français mais les nombreux schéma sont explicites et pas de problème de branchement.  Il est compact, on peut le prendre partout avec soit sans difficulté.  Moi qui aime organiser des Karaoké chez moi, le fait d'avoir 2 micros utilisable en même temps est un grand plus.  Très peu d'interférence, quasi pas de larsen ou grésillement.  Je recommande ++++</t>
  </si>
  <si>
    <t>. Fidèle à l annonce  réception rapide</t>
  </si>
  <si>
    <t>Réglable et très jolie ! Commandée pour un cadeau, le bracelet est réglable, tous les outils sont dedans pour enlever des mailles ce qui est pratique. Bel aspect général et belles finitions. Conforme à la photo je recommande.</t>
  </si>
  <si>
    <t>trés bon son La qualité du son est digne d'un matériel professionnel. Le branchement et le réglage se font facilement et rapidement. L micro fonctionne avec des piles classiques beaucoup moins chères que mes piles carrées. De bons karaokés en perspective.</t>
  </si>
  <si>
    <t>minimalistes pour la vie courante</t>
  </si>
  <si>
    <t>Magnifique chapelet Très beau chapelet et de bonne qualité !</t>
  </si>
  <si>
    <t>Ras Ras</t>
  </si>
  <si>
    <t>Exellent. Très bon produit. Très satisfaisant.</t>
  </si>
  <si>
    <t>Au top Basket impeccable, livraison rapide, authentique paire de lacoste</t>
  </si>
  <si>
    <t>ma plus tres contente</t>
  </si>
  <si>
    <t>Attention, la chaleur be tient ps Je suis déçue par ce produit car la chaleur disparaît très vite. Il n'y a qu'une minute de chaud et ce n'est pas de la grande chaleur, L'effet chaud ne tient pas.</t>
  </si>
  <si>
    <t>Ne jamais l'acheter Je n'ai pas aimé cet article trop de défauts je ne le recommande plus</t>
  </si>
  <si>
    <t>Nul Contrefaçon la semelle c’est retirer en quelque jour</t>
  </si>
  <si>
    <t>Pratique Très pratique ! Mais bon, après 3 mois d’utilisation, les poils au bout ne reprennent plus leurs formes... dommage</t>
  </si>
  <si>
    <t>New Balance Pour tout les jours</t>
  </si>
  <si>
    <t>Bon taille 43 Très comfortable</t>
  </si>
  <si>
    <t>super micros Je trouve ses micros d'une bonne qualité et un son net très agréable</t>
  </si>
  <si>
    <t>Tres bien et encore ameliorable C'est vraiment pratique et spacieux. À laver régulièrement car la saleté se dépose dans la rigole de devant. Pas de place pour les assiettes ni les opercules qui servent à fermer les flacons de conservation du lait maternel</t>
  </si>
  <si>
    <t>Bon son. Longue autonomie Ecouteur Bluetooth de très bonne qualité. Pratique avec sa boîte de charge. Agréable à l'oreille. Très bon son. Longue autonomie. Fontion lampe torche également.</t>
  </si>
  <si>
    <t>Montre sport Je l utilise tous les jours elle est légère et très design j apprécie la fonction «&amp;nbsp;pas&amp;nbsp;»,facile d utilisation elle est très ludique le cardiofrequence mètre pour son prix est pour moi l atout qui m a fait acheter ce produit plus toutes ses fonctions qui sont loin d être négligeable et primordiale pour tout sportif qui se respecte</t>
  </si>
  <si>
    <t>RAS Peut chere que en grande surface pour la même quantité d ancre. Bon qualité prix. Je recommande.</t>
  </si>
  <si>
    <t>Bonne montre oua, que dire de cette montre que j'ai toujours sur moi.je l'ai acheté il y a au moins 2 ans. et aucun soucis avec. à acheter les  yeux fermée.</t>
  </si>
  <si>
    <t>Confort Travaille</t>
  </si>
  <si>
    <t>Super chaussure Super chaussure, comme vu avec tommy, prendre une taille en dessous. Recu rapidement. Je conseille ces chaussures, on est aussi bien que dans des chaussons!</t>
  </si>
  <si>
    <t>Très bon son Très bon produit, très facile à connecté et le son est très bon que demander de plus. Je vais en recommander pour la famille car ils ont trouvé ce produit très intéressant.</t>
  </si>
  <si>
    <t>Mieux que sur les photos Achetées en noir Chaussures prévues pour ambulancier Elles sont superbes, les collègues sont jaloux, et ne croient pas à son prix Je recommande vivement</t>
  </si>
  <si>
    <t>Bracelet Agathe Noire Livraison rapide et conforme à la photo du site. Il semble quand même être un peu moins clair que sur la photo mais c'est exactement ce que je souhaitais...même un peu plus foncé aurait été encore mieux!</t>
  </si>
  <si>
    <t>Top Très bon produit Bonne taille</t>
  </si>
  <si>
    <t>Super ce grill-pain Un abord estétique, mais pas que !! mais il faut dire qu'il est super beau. Les côtés pratiques, les tartines aprés grillages sont éjectées à la bonne hauteur, on ne cherche pas à les attrapées et on ne se brule pas les doigts en les prenant. Le réglage de la température est hyper precis. La fonction réchaffachage des croissant est super bien aussi. Je n'ai pas essayé la fonction décongélation. mais si c'est comme les autres fonction il ne devrait pas y avoir de problème. Que du bonheur</t>
  </si>
  <si>
    <t>Belle taille. Belle surprise que la taille de ce bijou.  A compléter avec les boucles d'oreilles qui comme le collier sont de bonne taille.  L ensemble donne un effet élégant sans être trop clinquant .</t>
  </si>
  <si>
    <t>Ras Super rien à dire qualité confort classique casio incontournable je ne vois pas quoi lui reprocher ...je recommande vivement à l achat</t>
  </si>
  <si>
    <t>Montre J'adore la montre le style, c'est classe, jolie et élégant.  Franchement on est classe avec et ça passe avec tous ce que l'on porte! C'est simple, styler et c'est ça qui fait sont charme et avec sont juste prix c'est vraiment parfait! Je suis un amateur des montre Quartz et franchement j'adore c'est parfait!</t>
  </si>
  <si>
    <t>Impec Rien à dire.. correspond très bien à la demande</t>
  </si>
  <si>
    <t>Plutôt déçu Prix attractif au moment de l achat mais Cartouche qui semble s être vidé très rapidement .. donc je ne recommande pas</t>
  </si>
  <si>
    <t>très deçu J'ai reçu cette montre très rapidement. Niveau design, très belle comme sur les photos. Par contre impossible de régler l'heure et le bouton sous la "goupille" est tombé. Donc je l'ai renvoyé et Amazon m'a remboursé.</t>
  </si>
  <si>
    <t>Peu mieux faire Ne pas être chatouilleux comme moi mais super pratique... mais ne chauffe absolument pas</t>
  </si>
  <si>
    <t>MAM Biberon Anti-Colique - 260ml - 0 à 6 mois Il n'est as mal, il se démonte entièrement, ce qui n'est pas mal du tout pour le nettoyer. On trouve facilement des tétines qui vont avec. Le seul petit bémol pour moi, c'est qu'il manquait le petit truc qui bouche le biberon, quand on fait des préparations a base de farine.</t>
  </si>
  <si>
    <t>Genial Montre de très bonne qualité seul point négatif la lumière ne sert à rien casio pourrait passer au Led sur leurs g schock</t>
  </si>
  <si>
    <t>Tétine avec embout large Très pratique Embout plus large que les autres  donc débit important ce que je voulais Je le conseille sans souci</t>
  </si>
  <si>
    <t>Super montre Très belle même magnifique mais se des synchronise rapidement mais c est un plaisir de ra remettre a l heure</t>
  </si>
  <si>
    <t>La fermeture Mise à part la fermeture produit sympa</t>
  </si>
  <si>
    <t>bien reçu bien reçu . produits conformes / Merci</t>
  </si>
  <si>
    <t>Parfait Je suis très a l’aise dans ce jogging, parfaitement adapté à ma morphologie et aux couleurs sympas.</t>
  </si>
  <si>
    <t>Fragile Très joli mais très fragile</t>
  </si>
  <si>
    <t>Très confortable pour l’hiver ! J’étais à la recherche de pantoufles pour me protéger du froid du carrelage pendant l’hiver, je suis tombé sur ce modèle qui estTrès confortable pour l’hiver, Ils sont très moelleux donc agréable aux pieds, il protège très bien du froid. Ils sont beau et de bonne qualité</t>
  </si>
  <si>
    <t>TRES BELLE MONTRE Bon rapport qualité prix. J'ai acheté cette montre pour faire un cadeau et elle a rencontré un grand succès. Envoi rapide et soigné. Très satisfaite.</t>
  </si>
  <si>
    <t>Satisfaisant Livraison rapide pour ces petites Puma jolies comme tout</t>
  </si>
  <si>
    <t>Top Très bonne cafetière RAS après plusieurs mois d’utilisation</t>
  </si>
  <si>
    <t>très bonne chaussure malgré une ampoule au pied gauche (opéré) les chaussures sont légères avec une excellente semelle, pointure....44 c'est du 44 dommage pas de demi pointure, si vous voulez mettre de grosses chaussettes prenez une pointure de plus !</t>
  </si>
  <si>
    <t>fidele a la photoTRES TRÈS APPRÉCIE PAR MON ÉPOUSE ET MOI MÈME A BIENTÔT.</t>
  </si>
  <si>
    <t>Lot de biberons pour nouveaux nes Lot de biberons roses pour nouveaux nés. Contient 2 grands biberons' 2 petits  une brosse et une tétine.  Biberons d excellente qualite' La marque Avent est le must en matière de puériculture. Une superbe idée de cadeau, fort utile !</t>
  </si>
  <si>
    <t>Montre de tres bonne qualité et finition Et encore une Casio.</t>
  </si>
  <si>
    <t>Très bien Sac d'épaule très pratique. Il y a beaucoup de poches et suffisamment de place pur ce que j'ai à y mettre.</t>
  </si>
  <si>
    <t>super j;ai chosi cet article car il a trois feuilles et qu;il est ultra doux, de plus il y a dix huit paquets , c'est économique</t>
  </si>
  <si>
    <t>Bon produit Très bonne qualité, boîte qui permet de les ranger et de les charger. Agréable à l’oreille sans avoir mal Il y a des ambouts supplémentaires pour els différentes taille d’oreillers Fonctionne sur android et sur iphone sans souci</t>
  </si>
  <si>
    <t>bouilloire couleur sublime pour ma cuisine, look parfait et fonctionnalité sans surprise, je ne regrette pas mon achat, tout est parfait</t>
  </si>
  <si>
    <t>Moyen Qualité du papier trop fin</t>
  </si>
  <si>
    <t>passez votre chemin !!! 3 exemplaires testé et rien na faire l'imprimante n'en veut pas !!! La leçon est qu'il faut tout de même aller lire les commentaires , même pour un article de marque et "binaire" avec plus de mille appréciations et 4 étoile sur cinq. Bref ?</t>
  </si>
  <si>
    <t>Dommage Beaucoup trop grand. Même pour 1 poignet très fort cela n'ira pas. Pas de possibilité de réglage et ou de serrage : dommage.</t>
  </si>
  <si>
    <t>bien mais bof un peu déçue, mon fils aime par contre il ne joue pas beaucoup avec. Nous nous en servons ensemble avec l'ordi à coté pour faire des recherches sur les pays nommés. les chiffres sont trop longs du coup c'est compliqué à comprendre ( distance, superficie, population,...)</t>
  </si>
  <si>
    <t>chaussures pour madame modèle superbe coloris mode , la chaussure va bien aux pieds agréable a porter je les recommandes a d' autres personnes</t>
  </si>
  <si>
    <t>Fun Correspondance parfaite Avec La description</t>
  </si>
  <si>
    <t>bague magnifique j'adore!</t>
  </si>
  <si>
    <t>Niquel Rien à redire la qualité est bonne, juste un petit bémol sur l'odeur quand on le sort du paquet, ça devrait partir avec le temps.</t>
  </si>
  <si>
    <t>Très bonne lampe d’appoint C’est une lampe d’appoint de qualité. Le réglage de l’intensité se fait facilement de manière tactile, ça répond parfaitement. Elle n’est pas très haute, environ la hauteur d’une écran de PC de 24 pouces. Je recommande cette lampe qui a un bon rapport qualité prix.</t>
  </si>
  <si>
    <t>Le prix Livraison très rapide chaussures adaptées à son pied nickel</t>
  </si>
  <si>
    <t>Parfait Ils fonctionnent très bien et surtout, ils sont non toxique pour les enfants. Ils se compose de craie liquide qui s'efface sur le tableau en verre avec un essuie-tout (sopalin) sec ou humide. ils sont devenus indispensables dans notre cuisine!</t>
  </si>
  <si>
    <t>Sans hésitation ! Très bon modèle,  qui convient aussi aux pieds fins ! Chaussure confortable et robuste,  faite d'un cuir de qualité. Très jolie en plus.</t>
  </si>
  <si>
    <t>Aukey IS ok Un son excellent, un confort parfait, super autonomie, de plus allié au petit boîtier de chargement permet une utilisation encore plus longue.</t>
  </si>
  <si>
    <t>très bon aspirateur J'ai choisit cet aspirateur sans fil au petit gabarit mais avec de très bonnes performances en échange de mon aspirateur classique filaire. Je suis un client très satisfait car en plus d'avoir un beau design et une belle couleur, il est facile à utiliser, aspire aussi bien que mon ancien aspirateur de marque connue, il est peu encombrant avec sa base de recharge, l'autonomie est correct ( étant maniaque je passe tous les jours l'aspirateur ! ). Livré rapidement encore une fois grâce à amazon premium. Je ne peux recommander cet aspirateur.</t>
  </si>
  <si>
    <t>PRODUIT MIRACLE ' avec un peu d ' huile de coude quand même beau boulot avec ce produit . Notre fauteuil était en piteux état 11 ans sans nettoyage ni produit ( récup ) mais là il est comme neuf ; Plus besoin de coussin pour cacher la misère  NICKEL</t>
  </si>
  <si>
    <t>Très bon achat Mes premières oreillettes en BlueT, et je ne regrette pas .. !  Très bon emballage, avec un petit sac de rangement pour les trimbaler tranquille, faciles à mettre en œuvre malgré l'absence de notice française, bonne autonomie, et surtout un très bon maintien grâce aux cadres d'oreille, le son est correct, j'ai troué un peu limité dans les aigus, mais les basses sont excellentes, autonomie correcte, .. bref, je conseille l'achat ..</t>
  </si>
  <si>
    <t>quo vadis ! toujours aussi fonctionnel, efficace, clair....suffisamment large pour y glisser des documents, sans qu'ils ne dépassent....Ma référence en matière d'agenda civil.</t>
  </si>
  <si>
    <t>Très bien Acheté pour remplacer ceux que j'avais. Excellent en tout point de vue.</t>
  </si>
  <si>
    <t>Un petit peu cher Reçu en temps et en heure , comme prévu . Articles conformes à la commande . Un petit peu chers !</t>
  </si>
  <si>
    <t>Très beau ! Parfait</t>
  </si>
  <si>
    <t>Très beau collier il est toujours sur mon cou je le garde précieusement il est beau robuste pour le moment le fil ne se voit pas je le recommande il est vraiment beau et scintillant</t>
  </si>
  <si>
    <t>Bonne qualité de confection Je fais un 40 mais j'ai aussi des mollets assez forts. Si à la taille et aux fesses, ce legging de sport en taille M me va parfaitement, au niveau des jambes c'est un chouïa trop serré si bien que ça fait descendre le tissu au fur et à mesure des mouvements. Pour un bon 40, je recommande de prendre le L dans ce modèle.. Pour avoir testé différents modèles de cette marque, les tailles différent un peu à chaque fois. Je vous recommande de vous fier aux commentaires laissés par les acheteurs.  En dehors du sujet taille, je trouve ce legging très sympa au niveau du graphique violet. Il ne sert pas à la taille, et est particulièrement confortable (pourvu qu'on est choisi la bonne taille dès le départ).  Ne bouge pas au lavage et sèche très rapidement. Il y a une bonne qualité de confection sur ce vêtement. C'est le cas de tous les produits Aurique que j'ai pu essayés jusqu'à présent.</t>
  </si>
  <si>
    <t>Hyper pratique Hyper pratique, se ventouse très bien</t>
  </si>
  <si>
    <t>Converse qui passe toutes les époques Indémodable , rien à dire j’achète depuis des années, jamais déçue !</t>
  </si>
  <si>
    <t>Trop petit Dommage taille trop petit déçue sinon aurait un bon maintien</t>
  </si>
  <si>
    <t>Moyen. Prendre un papier autre pour meilleur rendu Rapport qualité/prix au top car pas cher mais pas terrible non plus en qualité. L’impression dessus n’est pas géniale. Peu importe les réglages de l’imprimante. Le papier pompe trop l’encre, du coup le noir devient limite marron, enfin il ternis beaucoup trop.</t>
  </si>
  <si>
    <t>ne surtout pas acheter ce produit bottes tres fragiles  se degrade a tous niveaux au niveau de la semelle du cuire et la jonction entre les deux  ne surtout pas prendre ce modele</t>
  </si>
  <si>
    <t>Mitigé Très bon produit mais sur les 2 commandés en XL un des deux tshirts est livré en taille M, du coup je reste déçu</t>
  </si>
  <si>
    <t>Quel bonheur Après une dure journée quoi de mieux de s'allonger sur ce tapis pour déstresser et se détendre</t>
  </si>
  <si>
    <t>Notation du casque Ecoute dde musique sur youtub Bon rendement, confort sur les oreilles ,legerete du casque sur la tete Satisfait du produit  bon rapport qualite prix</t>
  </si>
  <si>
    <t>Beau design, dommage pour le bip bip Cafetière élégante, qui chauffe vite et bien. Mais pourquoi nous infliger (et aux voisins aussi sans doute) un bip-bip obligatoire aussi strident? La sonnerie devrait être optionnelle et douce à l'oreille.</t>
  </si>
  <si>
    <t>Très bon investissement Le cuir est d'une très bonne qualité,la livraison très ponctuel.Légèrement déçu car la semelle interieure se décollait légèrement à l'ouverture du paquet. Après seulement quelques jours la chaussure c'est faite à mon pied.Je suis donc tout de même très satisfaite de mon achat.</t>
  </si>
  <si>
    <t>Parfait pour l’hiver Chaussons mignons et confortables. L’extérieur est conforme à la photo. Et l’intérieur est doux, épais et chaud. Ma petite de 9 ans ne les quitte plus à la maison. Je recommande !! Cochez «&amp;nbsp;oui&amp;nbsp;» si mon commentaire vous a été utile. Merci !</t>
  </si>
  <si>
    <t>Confortable Confortable, idéal pour l’été...</t>
  </si>
  <si>
    <t>TRES ABORDABLE DONNE UNE HEURE JUSTE</t>
  </si>
  <si>
    <t>Produit conforme Revetement de semelle agreable.  Amorti confortable.  Bref, elles font le travail</t>
  </si>
  <si>
    <t>Pratique, confortable, élégant Impossible de faire porter des chaussons à un enfant de 10 ans jusqu’ici. Sauf ce modèle. Parfait pour l’hiver !</t>
  </si>
  <si>
    <t>Top! Livraison le jour prévu, basket idem qu'en magasin, rien à redire</t>
  </si>
  <si>
    <t>Super Modele TBS reçu  ce modèle fin sept, je peux en conclure que j'en suis ravie, tout d'abord la couleur bleu très jolie et le confort est au rendez vous pour la promenade, ou marcher en ville. seule bémol pour ma part et je confirme certain commentaire, taille un peu petit et donc pour un confort maximal prendre une taille au dessus. j'ai donc pris un 39 au lieu du 38.</t>
  </si>
  <si>
    <t>Conformes Parfaites</t>
  </si>
  <si>
    <t>Chaussure pratique Rien à dire, j'adore il sont à la fois pratique et souple. Je n'existerai pas à prendre une autre  couleur très prochainement. Merci pour cette belle chaussure</t>
  </si>
  <si>
    <t>Bracelet de très bon rapport qualité prix Très facile à remplacer. Il est monté que depuis 6 mois mais pour le moment je ne rencontre aucun problème. Il faut préciser que je ne mets pas ma montre tous les jours</t>
  </si>
  <si>
    <t>Cartouche Originale HP Produit Original HP. J’utilise ces cartouches pour mon imprimante HP 8600 pro. Certes ces cartouches sont cher mais elles ont un prix à la page parmi les moins cher du marché (4.8 centimes selon le test des numériques). Avec mon utilisation, elle dure un an et environs 2500 pages. Rapport qualité prix excellent.</t>
  </si>
  <si>
    <t>Conforme à la commande Parfait</t>
  </si>
  <si>
    <t>Montre Sublime</t>
  </si>
  <si>
    <t>Tres bien Je suis très satisfaite de ce survêtement, la qualité de tissu est magnifique je l'ai porté deux fois et je l'ai lavé une fois et il est toujours intacte, le couleur la douceur... etc.</t>
  </si>
  <si>
    <t>Le meilleur du marqueur pour tableau blanc. Grand consommateur de marqueurs effaçables au travail, je me réjouis à chaque que je tombe sur ces Bic Velleda à pointe large et réservoir translucide. Alors que la plupart des produits Bic sont fabriqués en France voire ailleurs en Union européenne, ces exemplaires viennent de Chine. Le lot de 4 feutres de 4 couleurs différentes est emballé dans un carton. La pointe large est très agréable si la surface du tableau est bonne. Les couleurs sont bien vives et l'encre sèche vite. L'effacement est facile.</t>
  </si>
  <si>
    <t>P'tit cadeau Beau petit collier qui a fait plaisir merci</t>
  </si>
  <si>
    <t>baskettes je les ai revendu très mal aux pieds dommage sinon la couleur et les stass parfait pas faites pour moi</t>
  </si>
  <si>
    <t>Mauvaise qualité Je conseil pas ce produit</t>
  </si>
  <si>
    <t>Bien Très doux et très chaud, cette veste a juste un défaut: les manches sont un peu longues. Ne pas forcément prendre la taille en dessous, à moins que vous soyez longiligne, sinon vous serez trop serrée à la taille.</t>
  </si>
  <si>
    <t>une gtx c'est choses différentes avec la normal. bonjour, sur le site de Amazon c'est noté noir sûr blanc chaussure gtx j'ai reçu une normal pas de gtx , je suis handicapé la gtx c'est pour garder les pieds au sec malheureusement c'est pas le cas.</t>
  </si>
  <si>
    <t>cool Je l'ai acheté large, pour qu'il ne soit pas moulant et cache mes rondeurs, il fait tout ça ! un peu transparent, il donne une allure sportive et décontractée, j'ai enlevé une étoile pour les finitions des coutures qui tiraillent un peu, mais pas grave! Joli ...</t>
  </si>
  <si>
    <t>TAPIS FLEUR DES CHAMPS Contente de ce produit ,dommage qu'il n'y est pas de notice a l'intérieur ,on ne sais pas très bien command s'en servir</t>
  </si>
  <si>
    <t>Pendentif Très joli</t>
  </si>
  <si>
    <t>Pas de problème Nickel</t>
  </si>
  <si>
    <t>Un colis rapidement reçu Colis bien reçu avant même le terme du délai de livraison. Cartouches bien emballées. Pour la qualité d'impression et la longévité, je répondrai quand j'aurai utilisé les cartouches, ce qui n'est pas encore le cas.</t>
  </si>
  <si>
    <t>Bon rapport qualité /prix Ficelle classique en jute. Fine mais suffisant pour l’utilite que je compte en faire.</t>
  </si>
  <si>
    <t>Collier Je suis juste tombe amoureuse de ce produit. Il a l'air beacoup plus beau que dans l'image et semble etre tres cher. Les couleurs sont tres vifs et claires😍 Cest un cadeau parfait et je vais encore en acheter un autre pour ma soeur.</t>
  </si>
  <si>
    <t>L'oreillette MPOW EM13 est vraiment au top de la qualité du son et du confort L'oreillette MPOW EM13 a était  vraiment bien conçue petite légère est agréable à portée est le son est parfait  même en dehors dans le jardin  le son est au top petite est maniable est très facile à utilise.  Par contre c'est dommage qu'il ne ait pas de boite pour la ranger et la charger en même temps a part ca5je ne regrette vraiment pas mon achat</t>
  </si>
  <si>
    <t>Bon manteau Super pour cet inter saison! Manteau, polaire, avec capuche. J'aime bien sa coupe et son style, il va m'accompagner quelques années. La texture semble résistante et la qualité  globale est bonne (fermeture éclaire, boutons, capuche etc...). Je suis contente de mon achat!</t>
  </si>
  <si>
    <t>Fan des années 80 Très belle montre pour les nostalgiques, cela me rappelle mes souvenirs d'enfance, je l'ai offerte a ma fille de 13 ans qui ne la quitte plus du poignet.</t>
  </si>
  <si>
    <t>Très bien Très beau produit et de très bonne qualité. Très simple d'utilisation. Le bip n'est audible que suffisamment sans réveiller toute la maison!très design, je recommande complètement</t>
  </si>
  <si>
    <t>Parfaite Super ! Le patron ne m'embête plus parque je ne mets pas les sécu... Celle-ci sont agréables et jolie rien a dire .. et le prix est super.</t>
  </si>
  <si>
    <t>tisane prête petite, chauffe rapidement. Je m'en sers tous les jours, pensez à faire un premier rinçage.</t>
  </si>
  <si>
    <t>Je recommande pour les petits budget J’apprecie beaucoup ce casque et voilà plus d’un an que j’en lutilise. Il est très confortable et possède une bb bonne qualité son pour son prix. Ce qui fait un très bon rapport qualité prix. Je vous le conseil que ce soir pour vous ou pour un cadeaux</t>
  </si>
  <si>
    <t>Très bon câble Je m'en sers pour relier mes claviers à mon ampli et il remplit très bien son rôle. Très bon rapport qualité/prix, il paraît solide et tenir dans le temps.</t>
  </si>
  <si>
    <t>Trop grand mais beau sweat Agréable , bien doux à l'intérieur et marrant avec sa capuche l,  mais  vraiment trop grand,  pris  XXL , finalement un M aurait  suffit !  D'après  vos conseils en regardant  le tableau des tailles à commander... Retour pour l'échange bien compliqué,  voir impossible..je  l'ai vendu à une amie  pour mettre son  petit chien dans la poche !! Donc  attention lors de votre commande pour la taille...</t>
  </si>
  <si>
    <t>Écouteurs au top ! Les écouteurs relativement tiennent bien aux oreilles et le son de bonne qualité, il isole parfaitement les bruits. Pour la batterie ils tiennent bien vers 7h mais ça dépend du volume.</t>
  </si>
  <si>
    <t>Top Superbe basket J'ai aussi celle en rouge Au top</t>
  </si>
  <si>
    <t>Chaîne de belle qualité Je recommande cette chaîne de sécurité Elle est facile à mettre et de belle qualité Je suis rassurée !</t>
  </si>
  <si>
    <t>Plait beaucoup Un très bel album offert pour éviter les chocolats des traditionnels calendriers de l'Avent. De très jolies couleurs, lu au moins 30 fois depuis début décembre, c'est sans doute que décembre va avoir 40 jours cette année ! Bonnes fêtes à tous.</t>
  </si>
  <si>
    <t>TRES BON PRODUIT MON PETIT FILS EN RAFOLLE DE CETTE COLLECTION</t>
  </si>
  <si>
    <t>Sensibilité du Rode VideoMic Me Microphone Le Rode VideoMic Me Microphone, sitôt reçu, sitôt testé sur Samsung Galaxy S4 et Galaxy Note 8, sitôt retourné : sensibilité micro "directif" décevante. Le niveau d'enregistrement est limite inférieur à celui des micros intégrés aux mobiles. L’atténuation des « bruits » latéraux est certainement efficace… Matériel testé en lieu clos non perturbé, sans la bonnette anti vent, face à une TV (pour le son et l’image). Le son enregistré commence à être perceptible à moins de 1,5 mètre de la source audio… Non testé en extérieur, avec la bonnette...!</t>
  </si>
  <si>
    <t>Passez votre chemin Reçu déjà utilisé, du scotch pour tenir le réservoir d'eau, des poils sur la prise, aucune protection en carton ou polystyrène dans le carton (très abîmé) contenant la machine. Dommage de payer un produit reconditionné aussi cher qu'un neuf, et de ne pas être prévenu....</t>
  </si>
  <si>
    <t>Bon rapport qualité prix Ces chaussettes sont très confortable mais hélas 1 match de tennis et déjà une cloche.</t>
  </si>
  <si>
    <t>Gibeciere visconti Gibecière Visconti très pratique conforme à mes attentes. Très bon rapport qualité/prix. Belle qualité et finition. Je ne regrette pas et Je recommande</t>
  </si>
  <si>
    <t>Conforme à la description Reçu avant la date prévu , conforme à la description. Satisfaite de mon achat</t>
  </si>
  <si>
    <t>Conforme à la photo beau bijou Sublime collier conforme à la photo avec de très très jolie nuance et un beau coffret qui met bien en valeur le bijou.</t>
  </si>
  <si>
    <t>très bien C'est un très bon article je n'ai pas eu de soucis pour cet article qui est bien moins cher que l'original</t>
  </si>
  <si>
    <t>Suunto original Après 3 ans de bons et loyaux services journaliers le bracelet de ma montre a commencé à montrer des faiblesses... Il était donc temps d'en changer. Avec ma précédente montre Suunto (un model plus ancien) le changement du bracelet c'était très (TRÈS) mal passé, rendant la montre inutilisable. Cette fois ci pas du tout!  Tout d'abord il faut souligner que c'est un produit Suunto original. Le sachet reçu contient les deux bras du bracelet, une notice, et les visses avec les boulons de rechanges, et un tube de colle. Pour effectuer le remplacement un tourne vis de type T7 (en étoile à 5 branches) sera nécessaire et n'est pas fourni. Pour retirer les vieux boulons un tournevis plat 1.3 à fait l'affaire.  Le remplacement m'a pris une dizaine de minute. Étant un produit original pas de mauvaise surprise l'ajustement  est parfait. Juste à noter la différence de design (cf photo : le neuf est à gauche et l'ancien à droite) sans importance à mon avis.  Le seul point négatif la colle pour sécuriser le serrage est à mettre soit même sur le bout des vis... et vu la taille de ces dernières difficile de travailler proprement.  Bref très satisfait... Mon Ambit 3 est repartie pour un tour!</t>
  </si>
  <si>
    <t>Très bien Parfait comme 1er kit.</t>
  </si>
  <si>
    <t>Vraiment petit!!! Bel objet qui fonctionne bien Le dernier dictaphone de ma fille n'ayant pas résisté à une chute en amphi… elle a opté pour ce modèle. Franchement le design de ce dictaphone est vraiment sympa, et le petit format est top!!! Leger, facile d'utilisation avec un son correct. Elle est très satisfaite car c'est vraiment très utile pour prendre ses cours. Bon cadeau à offrir à un étudiant! J'espère que mon commentaire vous sera utile ; )</t>
  </si>
  <si>
    <t>Très bon son Au top super son contente de mon achat car ma fille et ravie merci je recommande</t>
  </si>
  <si>
    <t>Parfait Les cartouches sont parfaites ce sont les originales donc pas de problèmes de reconnaissance avec l'imprimante et en XL elles durent beaucoup plus longtemps. Elles sont également beaucoup moins chères qu'en magasin. Je les recommande totalement. J'espère que mon avis aura été utile.</t>
  </si>
  <si>
    <t>Dodie reste Dodie ..... Ce lot de 6 biberons bleus est le cadeau de naissance parfait, car toutes les mamans le savent bien, nous n'avons jamais assez de biberons. Le fait qu'il y a 3 tailles différentes sont utiles car au début le plus petit suffit puis ensuite le moyen et le grand quand bébé est plus grand. Et les petits peuvent alors servir pour les jus de fruits ou tout simplement pour l'eau. Les dessins sont très ludiques et la forme triangulaire des biberons, permet à bébé quand il a grandit de mieux le tenir seul. Les tétines sont à 3 vitesses et cela facilite le débit de lait que l'on souhaite pour bébé. Bref, une qualité et une marque qui n'a plus rien à nous prouver. Même s'ils sont un peu chers, le savoir faire est là. Je les recommande +++</t>
  </si>
  <si>
    <t>Identique Parfait Superbe basket pour personne qui travaille debout toute la journée</t>
  </si>
  <si>
    <t>Très satisfait J'ai acheté ces chaussettes pour le confort et la durabilité. Entièrement satisfait concernant le premier aspect. Elles donnent une sensation agréable et s'adaptent bien à l'anatomie du pied et de la jambe inférieure sans entraver la circulation du sang. Lavage possible à 40° donc OK (plus bas ne satisfait pas). C'est trop tôt pour évaluer la durée de vie. Mais pour le moment, c'est mon choix préféré.</t>
  </si>
  <si>
    <t>Confortables Mon fils adore ces chaussures. Elles sont idéales pour ses pieds forts et confortables. Efficaces également contre les mauvaises odeurs De bonne qualité elles durent, je les ai recommandées lors des changements de pointure. Prévoir peut être juste une taille au dessus.</t>
  </si>
  <si>
    <t>OK même avec des "grands" pieds Je fais du 45, Ras avec le 41/46</t>
  </si>
  <si>
    <t>Super Super</t>
  </si>
  <si>
    <t>Top Qualité Magnifique montre</t>
  </si>
  <si>
    <t>très bien. Je ai un très large pied. Avec les sommets des sandales, étant velcro, je suis en mesure d'ajuster à mon exacte. l'amortissement sur la plante des pieds excellents. Je suis aussi un homme très grand, donc je ai tendance à être très dur sur des éléments tels que shoes.as de maintenant, ils se maintiennent très bien.</t>
  </si>
  <si>
    <t>Excellente montre à petit prix Rapport qualité prix imbattable. J'adore cette montre. Le bracelet a vite pris une teinte de cuir vintage mais j'adore. Fonctionne très bien. Seul détail : le bruit de la trotteuse la nuit</t>
  </si>
  <si>
    <t>Magique Avant j'ai dépensé quelques bonnes centaines d'€ dans des trackers Garmin et autres marques de grande réputation, avec plusieurs déconvenues sur la fiabilité et la qualité. Là avec Wincase j'ai un bracelet performant et fiable pour le 10ième du prix des autres grandes marques. Que demander de plus !!! Fiable et agréable à porter elle ne me quitte plus. Gageons que la qualité soit durable. En regard de tous ces éléments je ne peux que conseiller son achat !!!</t>
  </si>
  <si>
    <t>Coutures un peu fragiles Joli sac pratique et pas trop cher mais il ne faut pas lui en demander trop. Les coutures des attaches sont faibles et se déchirent plutôt facilement. Ne pas trop charger donc ni trop tirer dessus. Si vos enfants s'amusent à tirer sur votre sac cela risque de déchirer. Après bien sûr un peu de couture et ça tient bien mieux qu'avant mais bon...</t>
  </si>
  <si>
    <t>Chaussettes  à  éviter Chaussettes  pas confortables dutout. Je les ai jeter car ma fille ne les supporte pas.  Impression  de porter du synthétique  😱 Je déconseille vivement.</t>
  </si>
  <si>
    <t>Défaut de qualité au bout d’un mois Au bout d’un mois l’une des 2 Un croche noir à côté de la fermeture éclair c’est mystérieusement enlevée (comme effritée). Impossible de retourner le produit car l’achat date d’il y a juste un mois comment faire marcher la garantie SVP ? Je suis très étonnée de la basse qualité de cette trousse étant habituée aux produits Eastpak.</t>
  </si>
  <si>
    <t>dommage reçu en temps et en heure mais trop petit ne convient pas pour un porte feuille ,un mobile (6''), porte carte (papiers voiture ) ni 2/3 petites choses avec</t>
  </si>
  <si>
    <t>taille grand , couleur non conforme Taille un peu grand et la couleur jaune est plutôt couleur vieille moutarde périmée. Mais pour l'ensemble, c'est confortable.</t>
  </si>
  <si>
    <t>Achetez le ! J'ai décidé d'écouter les commentaires d'un chacun sur ce casque et je peux vous dire que je ne suis pas du tout déçue  ! Confort excellent, son d'une bonne qualité pour le prix et facilement rangeable. Il est très discret et n'attire pas les regards dans la rue c'est ce que je cherchais avant tout. Le seul bémol est que la batterie s'affiche seulement quand on le connecte un appareil, pourquoi ne pas faire une touche spéciale batterie à cote des touches de commandes la prochaine fois ? Malgré  ça, les 18 heures sont assurées 👍🏾  Enfin bref, rien à dire, achetez le.</t>
  </si>
  <si>
    <t>très bon casque! très bonne restitution des sons. confortable.</t>
  </si>
  <si>
    <t>brassière très jolie En principe les brassières sont sombres avec un maintien moyen....... Celles-ci sont très jolies, belle dentelle, et très très bon maintien que l'on ne retrouve pas non plus avec les brassières toutes simples, taille correctement (taille L prise pour un 42 et 95B, cela convient parfaitement)</t>
  </si>
  <si>
    <t>bien produit de bonne qualité pointe fine, tres conforme à la descritpion par contre bien attendre que ca seche sinon tout s'efface...</t>
  </si>
  <si>
    <t>La taille Idéal pour le sport</t>
  </si>
  <si>
    <t>tétine dodie J'utilise ses tétines avec les biberons mam car ma fille n'accepte que ces tétines depuis qu'elle prend le biberon. Tétines trois vitesses à un prix correct et de bonnes qualités</t>
  </si>
  <si>
    <t>sweat bleu à capuche doublée en fourrure Ma fille de 12 ans mesurant 1 m 52 a adoré cette veste super cool et tendance pour ado. (taille XS) De marque allemande, donc aucun problème sur la qualité et le prix reste très abordable.</t>
  </si>
  <si>
    <t>Très bien (un peu juste en dimension) Produit conforme à la description (adhérence, couleur, texture). Je regrette un peu d'avoir pris un tapis de souris de cette dimension (23 x 18 cm), c'est un peu trop juste pour travailler confortablement... Mis à part ça, rien à dire !</t>
  </si>
  <si>
    <t>SUN TRES BON PRODUIT NETTOIE TRES BIEN LA CUVE DU LAVE VAISSELLE. MOINS ONEREUX QUE DANS LE COMMERCE. DE PLUS LE CONTENU DU SACHET RENTRE SANS PROBLEME DANS LE COMPARTIMENT LAVAGE.</t>
  </si>
  <si>
    <t>Super Parfait très joli</t>
  </si>
  <si>
    <t>Très pratique Super pratique ! Très rapide pour une stérilisation au micro-ondes ! Idéal pour les mamans actives qui n'ont pas toujours le temps d'attendre que l'eau bout à la casserole. La base peut également servir d'égouttoir à  biberons !</t>
  </si>
  <si>
    <t>Chaussure de securite Super chaussure de securite confortable et jolie a porter ,par contre taille très grand . Fournie avec 2 paires de lacets une noir et une rouge .</t>
  </si>
  <si>
    <t>Trés bien Très douce bien chaude rien a redire.</t>
  </si>
  <si>
    <t>Magnifique Nickel</t>
  </si>
  <si>
    <t>Bonne qualite Tres facile a mettre en place, il prends une bonne heure et demi a construire, deux heures si vous prennez bien le temps.  Je suis satisfait du rendu de la boite</t>
  </si>
  <si>
    <t>conforme Produit livré dans les temps, conforme à sa description et fonctionne très bien ! J'ai pu remettre en route une vieille Technics SL-B210 qui fonctionne au top maintenant !</t>
  </si>
  <si>
    <t>Répond à mes attentes Fonctionne bien</t>
  </si>
  <si>
    <t>Evaluation Je suis vraiment satisfait de ma commande.ces chaussettes sont a la fois chaudes et resistantes.c est un produit de bonne qualite.le rapport qualite /prix est imbattable.je recommande vivement cet article</t>
  </si>
  <si>
    <t>Confort Bonjour, Le pantalon de sudation est confortable à porter. Il est également bien taillé. On peut le porter durant toute une matinée pour vaquer à ses activités. On aura une légère sudation.</t>
  </si>
  <si>
    <t>Bien mais... En soi cet un chauffe biberon qui fait son job mais les moins : - le temps de chauffe est legerement erroné car pour un biberon de 150ml en le chauffant normalement et bien il ressort pas vraiment chaud il faut soit le remettre un peu soit le mettre sur la fontion petit pot ... - l'eau a tendance a deborder du chauffe biberon quant elle boue. - quand on retire le capuchon pour recuperer le biberon effectivement on peut se bruler et du coup plein d'eau en resort. - obligé de systematiquement remettre de l'eau dans le bain marie. Bref ce n'est pas tres pratique. Les plus: - il est petit donc gain de place. - compatible avec les biberons avent. Je pense quand meme que ppur faciliter le chauffage du biberon (surtout la nuit) il faudrait revoir 2 /3 points.</t>
  </si>
  <si>
    <t>Mauvaise taille. Commander en taille XL recus un tee shirt qui me parait etre de taille M.Je fait 1m90 pour 75kgs donc inutilisable.Faudrais voir a mettre les tailles correctement.Merci.</t>
  </si>
  <si>
    <t>decue Il y a des coussinets dans le soutient gorge qui bougent a chaque lavage ! tres complique a remettre conrrectement Pas un tres bon soutien</t>
  </si>
  <si>
    <t>Article de qualité mais pas de bonnes  odeurs Produit de bonne qualité et bien présentable mais attention ils ne sentent pas très bons on reste sois sur les agrumes ou sur les styles eucalyptus , mais pas des odeurs modernes et agréable</t>
  </si>
  <si>
    <t>Discret Discrétion, facile d’utilisation.</t>
  </si>
  <si>
    <t>Bien mais fin Attention, adepte de chaussettes Puma, j'ai pris celle-ci entre autre pour un usage sportif, c'est à oublier tout de suite. Le tissu est agréable, mais très fin, c'est bien pour porter dans des baskets de ville, pour sortir et se balader, mais n'espérez en aucun cas mettre ça pour courir ou faire du tennis. Sinon comme toujours avec Puma, la chaussette est de bonne qualité, semble bien tenir au lavage.</t>
  </si>
  <si>
    <t>De bonnes chaussettes Chaussettes bien étudiées, avec partie orteils et talon renforcés.  Ne coupent pas la circulation, avant de les mettre, je les ai lavées à 30°. ça les a un peu resserré, mais on peut les enfiler sans avoir de pb.</t>
  </si>
  <si>
    <t>Usuel Quotidien et bien moins cher que dans les tabacs !</t>
  </si>
  <si>
    <t>génial parfait pour alimention led et son 110 v</t>
  </si>
  <si>
    <t>sublime Ce bola est juste magnifique, de très bonne qualité. Le tintement est discret et très agréable. Je suis ravie de cet achat!</t>
  </si>
  <si>
    <t>Top Super’produit Très facile à utiliser même pour les plus jeunes très bin’e Qualité et le son est super</t>
  </si>
  <si>
    <t>Chaussures conformes chaussures hyper légère bien protégé je les utilise depuis deux semaines au travail aucun problème je recommande .</t>
  </si>
  <si>
    <t>Jolie Superbe couleurs</t>
  </si>
  <si>
    <t>Parfait J’a déjà essayé plusieurs marques mais celui-ci est meilleur, ne tombe pas, ne glisse pas. On voit la différence</t>
  </si>
  <si>
    <t>Conforme à la description et recommande vivement Article livré avec un jour de retard. Mais exactement conforme à la description. Table robuste, confortable, pour un première table de soin je recommande vivement. Très bonne qualité.</t>
  </si>
  <si>
    <t>Qualité Très bon produit</t>
  </si>
  <si>
    <t>Superbe pull!!! Acheter cet hiver je le porte souvent n’a pas bougé au lavage</t>
  </si>
  <si>
    <t>Oh, c'est geniale J'ai des problemes de dos. Trois interventions deja (hernie discale et arthrodese). On peut choisir entre trois temperatures. Ca prend un peu de temps pour que ca chauffe. Ce que j'ai fait c'est que je l'ai mis sur un minuteur (pas inclu). Automatiquement, le minuteur le fait marcher en temperature le plus bas. Mais c'est nickel. Des que je rentre dans le lit, le temperature du lit est super-agreable (tiede, mais pas chaud). Dans le cas que je souhaite un peu plus de chaleur, j'ajuste le reglage a la minute. Tres bon achat. Et tres bon marque.</t>
  </si>
  <si>
    <t>Moderne Super qualité</t>
  </si>
  <si>
    <t>Trop belles, j'adore Vraiment belles, la pointure et correcte et le prix canon (par rapport aux autres revendeurs de cette marque)</t>
  </si>
  <si>
    <t>Super produit au top Merci tout simplement Livraison rapide je peux écouter Netflix tranquillement le son est comme au cinéma je recommande foncez</t>
  </si>
  <si>
    <t>Très satisfait Très satisfait</t>
  </si>
  <si>
    <t>Jolis, pratiques, parfaits! Ce lot de biberons est à première vue très jolis, les couleurs sont sympa, les décor très jolis.  La forme des biberons permet à bébé qui grandit de le tenir facilement tout seul. Le bouchon est pratique et se décapsule d'une seule main (un gros plus quand on est maman et qu'on a toujours les mains occupées). Les tétines rondes (mais pas larges) sont classiques mais conviennent parfaitement car l'allaitement est déjà loin pour nous.  Le nettoyage est aisé, tant pour le corps du biberon que pour les tétines.  La marque Dodie ne nous déçoit jamais, c'est joli, c'est solide, c'est pratique, on a confiance à 100%, que demander de plus?  En plus, ce lot peut faire un joli cadeau de naissance. Je recommande, oui, sans hésiter!</t>
  </si>
  <si>
    <t>Moyennement satisfaite Faisant du 39 j'ai pris du 40 mais c'est un "40" petit j'ai l'impression d'avoir du 38 aux pieds...</t>
  </si>
  <si>
    <t>Tong L'article a été renvoyé car beaucoup plus grand que la pointure correspondante. Le produit correspond à la photo. Un peu cher pour des tongs.</t>
  </si>
  <si>
    <t>Bien mais très fragile Je suis professeur des écoles et pour la fête des mère j’ai confectionné avec mes élèves des boucles d’oreilles le produit correspond à la description le seul problème est qu’une sur 3 casse au montage donc à manipuler avec précaution</t>
  </si>
  <si>
    <t>Commande conforme Commande conforme</t>
  </si>
  <si>
    <t>Qualité et silencieuse dans les travaux d'impression... Silencieuse ! Trop cher pas rapport à d'autres marques ! Son point fort : elle accepte les cartouches génériques.</t>
  </si>
  <si>
    <t>Matière, couleur, poches tout est bien J’ai acheté ce sac pour la vie de tous les jours. Il est d’un matière très souple et agréable. Petit bémol sur les glissières (la partie que l’on prend fraise glisser et ouvrir le zip) qui sont un peu écaillées. Mais la «&amp;nbsp;fermeture est facile et fluide. Beaucoup de poche qui sont mise face contre nous et pas vers l’exterieur Puisque opposé au logo devant. Idéal pour ne pas s’encombrer  Et prendre juste l’essentiel. Le format est idéal.</t>
  </si>
  <si>
    <t>Brassière sport Brassières au top, maintien nicquel. Elles sèchent vite ! Seul petit bémol, elles tiennent chaud... mais elles me sont devenues indispensables</t>
  </si>
  <si>
    <t>Bonne affaire Boucle d oreille il me semble a 2 euro . Bonne qualite .on pourrait presque croire que c est de l or.malgre qu elles sont pendante elles sont legeres a porter.je vous les recommandes mesdames pour les fetes ou autre.</t>
  </si>
  <si>
    <t>Vraiment top!!! Je recommande sans hésiter cet ensemble de sport. Je mesure 1m67 et je taille du 38 en bas et du 36 en haut. Il me taille parfaitement !</t>
  </si>
  <si>
    <t>Bon prémier casque anti-bruit Depuis j'ai pu comparer TaoTroncs TT-BH22 avec Bose QC35II (tout en sachons que QC35II coûte 5x plus en moyenne) :  Réduction de bruit : TaoTronics offre une performance de réduction à la hauteur de 25%-30% de Bose QC35II. C'est beaucoup moins comparé face à face, mais TT reste néanmoins bien utile au travail ou dans l'avion et permet de se familiariser avec des avantages de la réduction de bruit active.  Qualité de son : la qualité de son est très bonne chez TT et dans un test rapide très étonnamment elle ne parait pas très éloigné à celle de Bose, en tout cas pour un usage simple.  Confort : TaoTronics sont confortable à porter et similaire à Bose. Les deux casquent ont une construction mécanique similaire et peuvent être pliés de même manière.  Interface : L'ergonomie de contrôles n'est pas idéale sur TT (pas d'indication en marche, embranchement de la réduction par un bouton séparé).  La caractéristique du son de TT change bizarrement (en mal) quand la réduction de bruit est désactivée. Bose n'a pas ce type de défauts, en plus Bose dispose d'une application mobile pour sa configuration.  Autonomie : très satisfaisante pour TT, semble conforme aux spécifications. Pareil pour Bose.  Globalement, TT offre beaucoup de qualités pour son petit prix. Parfait pour un usage quotidien. La réduction de bruit est considérablement inférieure par rapport au leader du marché, mais elle n'est pas ridicule et apport un confort additionnel dans des endroits bruyants.</t>
  </si>
  <si>
    <t>Parfait La sacoche correspond parfaitement à la description et aux photos. Produits de bonne qualité La grandeur permet de mettre un portable et plusieurs accessoires</t>
  </si>
  <si>
    <t>Joli Joli Et en plus elle chauffe mon père l’a adopté papa heureux que du bonheur</t>
  </si>
  <si>
    <t>Recharges conformes Pour imprimante photos, idéal pour imprimer de façon ponctuelle quelques photos.</t>
  </si>
  <si>
    <t>Beau bijoux J'ai offert ce bracelet et je trouve qu'il est franchement très joli et gracieux pour une femme. C'est un beau cadeau à faire</t>
  </si>
  <si>
    <t>Achat parfais ! Achats parfais !</t>
  </si>
  <si>
    <t>très confortables J'ai acheté ces baskets pour mon fils ado qui d'habitude ne porte que de la marque, en plus de les trouver "trop" belles, il les trouve hyper confortables. Je suis contente de mon achat surtout à ce prix !</t>
  </si>
  <si>
    <t>Invicta... La  diamètre du verre fait 30 mm, 38 sans la couronne crantée de mesure du temps de plongée, 40 avec les crans extérieurs de la couronne, ce qui peut faire petit pour des gens musculeux, forts qui préfereront , je suppose une 45 mm. (Mesures prises sur un double décimètre, pas de pied à coulisse disponible).  Pas trop lourde, présentation soignée, fond en verre laissant apercevoir le mécanisme et ai pu lire sur le bâti du mouvement 24 jewels que je traduis par 24 rubis, signe encourageant d'un mécanisme de qualité. Ma Seiko ne doit avoir que 21 rubis. Tellement satisfait que j'en commande une deuxième pour offrir. G.</t>
  </si>
  <si>
    <t>des feutres pour des aprés midi de tranquilité familiale génial pour toutes les surfaces</t>
  </si>
  <si>
    <t>Super Très bon produit de très bonne qualité</t>
  </si>
  <si>
    <t>Tout a fait conforme Bon produit, tout a fait conforme à la description. L'huile est de bonne qualité.</t>
  </si>
  <si>
    <t>Des crocs quoi Aucun problème à signaler. Des Crocs robustes et légère qui peuvent être utiliser dedans comme dehors. Très bon produit qui ne glisse pas sur le sol.</t>
  </si>
  <si>
    <t>Je recommande Confortable, la bonne taille, bonne qualité, elle conforme à la fichier. Ça a l’air bien avec mes vêtements de sport, et j’ai acheté deux de plus après j’ai essayé la première.</t>
  </si>
  <si>
    <t>Très moyen Pas de bretelle réglable. Fermeture éclair sur le devant très difficile à utiliser.Je ne le recommande pas du tout.Je suis déçue.</t>
  </si>
  <si>
    <t>Attention ce n'est pas des converses Les baskets me vont, par contre méfiez vous ce n'est pas des converses all star mais une marque les ayant tres bien copié (pour ne pas dire contrefacon). Décu parce que je pensai vraiment acheté des converses...</t>
  </si>
  <si>
    <t>L"'affaire " est dans sa boîte. Produit reçu avec les côtés des semelles décollées à plusieurs endroits. Je ne l'ai pas constaté de suite, car portées plus tard. Il s'agissait d'un produit reconditionné avec comme indications : salissures. Sachant bien détacher cette matière, je ne me suis pas inquiétée et pensais faire une affaire. Il n'y avait aucune salissure. C'était un pur et simple gros défaut de fabrication. C'est irréparable étant donnée la couleur des chaussures en cuir poreux. Impossible d'utiliser une colle sans imprégner le cuir et le tâcher. Dixit un cordonnier qui ne veut pas prendre ce risque. (Alors qu'il est un véritable orfèvre. ..). L"'affaire " est dans sa boîte depuis des mois.</t>
  </si>
  <si>
    <t>Perle Andante Stones j'ai acheté ces stoppeurs pour mon bracelet P.......pas facile de les glisser sur le bracelet il faut vraiment forcer.</t>
  </si>
  <si>
    <t>Ça va Pour l’instant il y a rien à direIl faut voir la suiteÇa fait que deux semaines je les ai bonne journée</t>
  </si>
  <si>
    <t>A utiliser avec précaution Très bon diffuseur avec de belles couleurs. Il est petit et nécessite très peu d'entretien. Il n'est pas bruyant donc possible de le laisser fonctionner la nuit sans gêne. Le seul reproche qu'on pourrait faire est le volume d'eau (150ml) qui je trouve est assez petit si on le laisse fonctionner 4 à 5 heures par jour. Ps: je remarque une forte fluctuation du prix pour ce diffuseur. Je l'ai acheté il y a 15 jours à 11.99€ et maintenant il est à 14.99€. Soyez vigilant au prix et Mr. Le Fabricant si vous me lisez, soyez moins gourmand svp.  Voici une liste de différentes huiles essentielles à utiliser en fonction de votre besoin:  1- Difficulté à s'endormir: les huiles essentielles d'ylang yang (parfum envoûtant), lavande et valeriane sont connues pour aider à trouver le sommeil. Versez 4 gouttes pour l'ylang ylang car assez puissante et 4 à 5 gouttes pour les autres.  2- Purification de l'air: versez 4 à 5 gouttes d'huiles essentielles de citron ou de lavande.&amp;nbsp;  3- Booster l'énergie et le mental: versez 4 à 5 gouttes d'huiles essentielles de bergamote, ou de menthe poivrée ou de sauge sclarée (odeur un peu repoussante à mon goût mais efficace).  4- Repousse insectes: versez 4 à 5 gouttes d'huiles essentielles de citronnelle, clou de girofle, ou bois de cèdre.  Pensez bien à nettoyer le bac du diffuseur au vinaigre à chaque utilisation d'huiles essentielles différentes. Si l'odeur des huiles ne vous dérange pas vous pouvez encore augmenter la quantité (5 à 7 gouttes). J'achète mes huiles essentielles chez Aroma zone.  Bonne utilisation et vive le naturel!</t>
  </si>
  <si>
    <t>Bon chauffe-biberon J ai troqué mon chauffe-biberon Avent pour celui-ci. Beaucoup plus rapide et pratique. Par co'tre je ne trouve pas la fonction chauffe petit pot terrible, c'est long et souvent pas à la bonne température</t>
  </si>
  <si>
    <t>Ballerines pour vols internationaux. Taille normale. J’ai acheté ces chaussons pour les utiliser dans mes déplacements longs courriers. 10 à 12h d’avion...Ils sont légers, confortables, smart et antidérapants...et ne prennent guère de place. C’est super ! Je recommande.</t>
  </si>
  <si>
    <t>Correct Bonne qualité. .. correspond à la description.. moins souple que ceux que j utilise d habitude mais sans consequence</t>
  </si>
  <si>
    <t>Une montre simple mais essentielle Prix modéré pour cette montre qui propose l'essentiel et surtout un cadran bien lisible. Look classique et sobre. Fonctionnement sans incident depuis 1 mois.</t>
  </si>
  <si>
    <t>Parfait et confortable Tres satisfait de ma commande , très léger, convient parfaitement à se dont je souhaitais. Confortable à l'oreille.</t>
  </si>
  <si>
    <t>Bonne qualitée Montre très élégante et pas chère pour la qualité du produit. Fonctionne très bien à première vu</t>
  </si>
  <si>
    <t>c'est une machine trés fonctionnelle Bonjour, très facile à installer, très bonne qualité d'impression y compris les photos. je recommande cette machine, elle rassemble beaucoup de fonctions très utiles .</t>
  </si>
  <si>
    <t>bien cadeau</t>
  </si>
  <si>
    <t>CONTRE LE FROID Article un peu long à arriver mais il est là et correspond tout à fait à mes attentes . Bien fini, sympa, mon chien l'adore !! Difficile d'évaluer la taille idéale, je m'étais trompé lors de mon précédent achat.</t>
  </si>
  <si>
    <t>⭐ Belle G-Shock rouge ⭐ Couleur rouge pas trop flashy, très belle montre, ma 6ème G-Shock dans se style. Indémodable et solide, ma plus vieille G-Shock date de 1999 acheté en Australie.  Pour l'éclairage du cadran, toutes les montres  de cette série et du modèle avec le bouton de lumière au bas de l'écran (GA-700) n'éclairent que très peu. Une simple diode.  J'avais le système Illuminator sur des G-Shock dans les années 90, c'est regrettable que ça ne soit pas utilisé actuellement sur ces montres.  Mais bon, comme j'utilise que très rarement la lumière ce n'est pas rédhibitoire.  Info pour les potentiels acheteurs, acheté 59,99€ le 29/08/2017. Comme le prix fluctue, si ça peut aider...  Si vous avez trouvé mon commentaire utile, n'hésitez pas à cliquer sur "UTILE" en dessous, ça fait toujours plaisir :)</t>
  </si>
  <si>
    <t>Top Produit conforme à la description Nickel</t>
  </si>
  <si>
    <t>Ok Les indispensables de l’ete. Produit conforme au descriptif.</t>
  </si>
  <si>
    <t>Belle robe agréable à porter Confirme à la description et à l’image. Satisfaite de cette robe.</t>
  </si>
  <si>
    <t>tres bon la qualite Reçu les écouteurs à l’instant le temps d’ouvrir l’emballage lire la notice et le pairage est fait sans problème ni fausse note. Ce ne sont pas les premiers écouteurs Bluetooth que j’achète mais étonnamment ils sont de très bonne qualité. Très bonne tenue, son impeccable et par moment j’oublie même que j'ai des écouteurs. Pour moi c’est tout bon à tous les niveaux surtout le rapport qualité prix qui est excellent</t>
  </si>
  <si>
    <t>tres bien la montre remplit parfaitement son office, il faut bien penser à la mettre en exposition lumineuse régulièrement pour ne pas perdre de capacité en pile.  deux points regrettables à mon sens : les marées ne sont pas géolocalisées... mais bon à ce prix là c'est normal et les vis sur le boitier sont des fausses...  super montre sinon!!!</t>
  </si>
  <si>
    <t>Grigri Jolis, pas chers du tout. Un excellent investissement pour de sympathiques cadeaux. Ces bracelets conviennent aussi bien pour les filles que pour les garçons.</t>
  </si>
  <si>
    <t>Bien dans mes baskets Les basket lacoste sont trés confortable, j ai les pied sensible donc je suis trés difficile. Taille bien elle sont ni trop grand ni serré.</t>
  </si>
  <si>
    <t>Excellent chaussons J'en suis à ma 2ème paire. La première paire est toujours en très bon état après plus de deux ans d'utilisation quotidienne. Très bonne qualité : semelle épaisse et qui ne d'affaisse pas avec le temps, chauds mais pas trop. Sobres et esthétiques.</t>
  </si>
  <si>
    <t>Pas neuf Le produit reçu n'est clairement pas neuf. Quelques rayures ici et là et des traces de colle. L'angle 90° a du jeu et n'est pas tout-à-fait droit. Le produit n'a pas l'air solide et ne vaut pas son prix, ça devrait pas valoir plus de 15€. Pas sûr que ça tienne une année. 3 étoiles en moins à cause de ces désagréments.</t>
  </si>
  <si>
    <t>Très bas de gamme &lt;div id="video-block-R34BFRAM3DUB3P" class="a-section a-spacing-small a-spacing-top-mini video-block"&gt;&lt;/div&gt;&lt;input type="hidden" name="" value="https://images-eu.ssl-images-amazon.com/images/I/81UgpzLHMwS.mp4" class="video-url"&gt;&lt;input type="hidden" name="" value="https://images-eu.ssl-images-amazon.com/images/I/81YgWAjLt5S.png" class="video-slate-img-url"&gt;&amp;nbsp;Beau de loin, loin d'être beau ! 😂 Du Made in China, bas de gamme. Les jours sont en pictogrammes... Déçu de mon achat !</t>
  </si>
  <si>
    <t>Trop petit Trop petit</t>
  </si>
  <si>
    <t>bon rapport qualité prix juste un petit problème avec l'élastique sur le coup de pied, trop court et impossible de rentrer le pied. J'ai coupé!!!</t>
  </si>
  <si>
    <t>Pour les grands bébés Quand son bébé grandit (ou celui que l'on garde) il faut du matériel adapté. Le biberon de lait est important et nécéssaire (quand on ne donne pas la tété) pour bébé, ça lui apporte à la fois de l'eau et aussi du calcium et des protéines de lait et tout un tas de trucs écris sur les boites de lait. Mais bébé aime aussi boire en quantité ; c'est à dire plus de 210 ml et aussi il aime tenir son biberon.  Ce biberon est idéal pour être tenue entre les petites mains de bébé. En effet, il est aminci sur les côtés ce qui permet une bonne prise en main. Mais si on donne le biberon, je le trouve pas trop pratique. La tétine a plusieurs vitesses : 3 . Elle est souple et "rappelle" le sein , ce qui doit permettre une meilleurs préhension.  Pour le nettoyage, je le fais à la main, bien plus simple (puisque je n'ai pas de machine) et j'utilise une brosse.  Des biberons vendus par 2.  Ils sont pratiques et bébé est content.</t>
  </si>
  <si>
    <t>Bien Les écouteurs sont corrects, le son est très bien, avec une petite commande pour régler le volume sur le fil, ce qui est très pratique. Je recommande</t>
  </si>
  <si>
    <t>Efficace et agréable Cadeau offert à mon épouse pour Noel et qui a ravit toute la famille ! Les "points" de massage sont assez épais et ne font pas mal. Le chauffage est léger mais suffisant pour être ressenti et agréable. Le produit est pratique et efficace, parfait ! seul petit bémol : les boutons de commande situé sur la bretelle gauche sont mal placés. La localisation a proximité des "poignées" droite ou gauche aurait été parfait. Je recommande néanmoins.</t>
  </si>
  <si>
    <t>grande visibilité Tableau étudiant idéal pour les schémas</t>
  </si>
  <si>
    <t>top Super brassières, je voulais un bon maintient c'est chose faite! Je ne peux que les conseiller vu le prix ca vaut le coup!</t>
  </si>
  <si>
    <t>Sacoche Très bien et bravo pour la qualité</t>
  </si>
  <si>
    <t>le top bottes techniques et esthétiques. passe dans l'eau, la boue et la neige sans problème. les pieds sont bien au chaud, la fourrure intérieur est moelleuse: des vrais chaussons, même à -12o</t>
  </si>
  <si>
    <t>rapport qualité prix impeccable Je l'utile pour faire des karaokés, ils sont geniaux</t>
  </si>
  <si>
    <t>Très pratique ! Fini la colle en tube qui fait gondoler les photos ! La découpe des carrés est simple et la pose encore plus ! Idéal pour la réalisation d'albums photos maison ! je recommande !</t>
  </si>
  <si>
    <t>Câble Audio 3.5mm vers Double 6.35mm 2M Article correspondant aux indications données par le site et apparemment de très bonne qualité. Aucun reproche à formuler</t>
  </si>
  <si>
    <t>La classe absolue Bon d'accord, c'est cher mais franchement, cette théière vaut son prix. Et puis, les objets de cette marque sont faits pour durer, l'investissement en vaut la chandelle. Sur la boite, il est écrit "objets d'art culinaire" et ce n'est pas une vue de l'esprit. Cette théière est belle, autant que peut l'être une théière, mais surtout elle est fonctionnelle, complète et pratique. Des modes pré-réglés en fonction de la nature du thé ou de l'infusion, des modes programmables personnels, une fonction bouilloire et même une fonction thé glacé, eh oui . La fonction maintient au chaud réactivable peut s'avérer utile dans le cas de préparations plus importantes. A noter que la théière accepte le thé en vrac aussi bien que celui en sachet. Il est possible de régler l'appareil quasiment au degré voulu, ainsi que la durée d'infusion. Toutes les commandes sont intuitives et on peut se passer du mode d'emploi pour utiliser l'appareil aussitôt déballé. Une petite coupelle aluminium est fournie pour poser le réceptacle à thé, on est dans le détail mais ça reste toutefois très appréciable. Tout cet ensemble en aluminium satiné et verre trempé est du meilleur effet et peut rester sur le plan de travail de la cuisine sans honte. Des patins anti glisse tapissent le fond de la théière ainsi que de la coupelle pour davantage de sécurité. Traité sans bisphénol pour les parties en plastique et donné pour 20% économe en énergie. On appréciera également la possibilité d'enrouler le fil d'alimentation sous la base pour un rangement efficace. Vraiment un très bel objet, efficace et facile d'emploi qu'on ne peut que recommander.</t>
  </si>
  <si>
    <t>Très bon produit J'ai pris ces feutre pour ma fille et elle les adorent il n'ont pas sécher et s'enlève facilement quand faut nettoyer bébé la mienne plate très légèrement arrondit ne bouge pas même si elle apui fort la qualité est la</t>
  </si>
  <si>
    <t>pantoufle ces pantoufles sont super epaisse parfaite pour mon papa qui est a la maison, ces pantoufles son epaisses, chaudes et adapter comme il faut a la pointure</t>
  </si>
  <si>
    <t>Super Rapport qualité / prix, rien à redire. Super qualité. J’en ai acheté 2. Le goulot est très bien adapté pour l’introduire dans le biberon sans en mettre partout. Le fait que les doses soient cumulables, c’est parfait, on peut mettre dans le sac à langer soit une dose soit plusieurs doses, c’est très pratique. Je recommande.</t>
  </si>
  <si>
    <t>Tres bonne huile essentielle ! Super rapport qualité-prix et je l'utilise comme çà !  Application cutanée : Abcès, acné, eczéma, gingivite, herpès, mycoses, parasites cutanés, piqûres d'insecte, tonique physique (fatigue cardiaque) Voie respiratoire (diffusion, inhalation) : Angine, bronchite, grippe, otite, rhinopharyngite, rhume, sinusite, toux Voie interne (orale, rectale, vaginale) : Bronchite, cystite, grippe, parasites intestinaux, rhinopharyngites</t>
  </si>
  <si>
    <t>Excellent rapport qualité / prix Utilisées depuis quelques mois, c’est conforme à la description. Du coup elles sont toujours dans la machine/sèche linge.</t>
  </si>
  <si>
    <t>la montre la montre super !! voit avec les linges tous habillés !! merci amazone</t>
  </si>
  <si>
    <t>Bon produit Apple mais le prix reste très élevé comme tous les produits apple Bon produit très bon son mais reste cher pour des écouteurs</t>
  </si>
  <si>
    <t>Parfait Très jolie casque et très bon son</t>
  </si>
  <si>
    <t>Dans une boîte cassé Cadeau reçu le jour de l'anniversaire de mon fils de 8 ans dans une boîte cassé 😠au top 👎pfff autant dire que je suis juste un peu dégoûté mais mon fils était quand même très content !!!</t>
  </si>
  <si>
    <t>Déconnexion de l'oreillette droite Qualité audio correcte, bonne autonomie, grosse batterie super pratique mais ... l'oreillette droite fait des micro-coupures toutes les 10 secondes.  Testé avec un samsung galaxy S7 et un LG G4 Testé avec un ordinateur Dell XPS 15  Même comportement. C'est inutilisable en l’état. On peut accepter une qualité  audio inférieur au produit apple mais pas ce comportement.  J'ai tout essayé, hard reset, changement d’oreillette, j'ai toujours le même comportement. Problème de mon exemplaire ? Je ne sais pas.  J'ai décidé de le renvoyer au bout d'une journée. Je ne m'explique pas les bonnes notes des acheteurs.</t>
  </si>
  <si>
    <t>met plus de temps à atteindre ébullition met du temps chauffer</t>
  </si>
  <si>
    <t>Tres grosse montre. Tres bien pour moi conforme au descriptif. Commandée a 13 H 40 reçue avant 22 H le même jour (moyennant 4,99 € en plus) très bien renvoyée au bout de 8 jours : affichage analogique retarde par rapport au numerique (1 H en une nuit)</t>
  </si>
  <si>
    <t>Très bien Super rien à dire pour le prix très joli</t>
  </si>
  <si>
    <t>c'est des bonnes chaussettes. je chausse du 44 et ça va. aussi ça serre bien en haut et ça reste en place.</t>
  </si>
  <si>
    <t>Pas mal Je mets 4 étoiles car je n'ai pas eu le bandeau qui devait être inclus dans le lot !  Sinon l'article est correct. Les picots sont en plastique, quand je les ai touchés au début, j'ai pensé que ça serait trop douloureux à supporter, mais au final j'ai été assez agréablement surprise.  Testé 10 minutes, c'est pas mal pour un début ! Je suis contente</t>
  </si>
  <si>
    <t>bien Default constaté : Info temperature difficile a regler Peinture sur le contour qui part facilement Rayure possible du verre si contact forcé avec un objet surtout pointue.</t>
  </si>
  <si>
    <t>Idéal pour une écoute en pleine canicule En cette période de canicule, il est inconcevable pour moi d'écouter de la musique dans les transports avec mon casque habituel. Il me fallait vraiment un casque / écouteur empêchant toute transpiration.  Je ne connaissais pas l'existence des écouteurs à conduction osseuse jusqu'au jour où un collègue m'en parle et me fait tester 10 secondes son Aftershokz Trek Air. J'ai été séduit par son design, sa légèreté et surtout son côté très ouvert. Je me suis décidé à prendre ce type de casque. J'ai finalement opté pour l'Aftershokz Aeropex. Après plusieurs recherches sur le net, il s'avère qu'il s'agit du meilleur casque à conduction osseuse à ce jour.  Le packaging est vraiment top, on voit tout de suite qu'il s'agit d'un produit finit et soigné. J'ai été un peu dérouté par la présence de 2 câbles, de la sacoche à fermeture magnétique mais surtout des bouchons d'oreilles.  Le casque est quant à lui très léger et la qualité de restitution du son (aigu, médium) n'a presque rien à envier aux casques classiques à l'exception des basses. Ces derniers manquent cruellement de punch malgré les améliorations faites par rapport aux Trek Air. La restitution des voix est vraiment top également. Alors, certes, ça ne vaudra pas un bon casque. Certains détails sonores disparaissent complètement. Les 5 premières minutes d'écoutent étaient assez désagréablement du fait que l'écouteur exerce une certaine pression sur les tempes et le fait que les transducteurs vibrent énormément. Même en l'ayant retirer, je ressentais encore cette gêne. Mais le lendemain, j'ai pu enchaîner une écoute quasi non stop dans les transports et au bureau. Je regrette seulement l'absence de bass bien péchu et surtout l'utilisation de connectique propriétaire (surement dû à la norme IP67/IP68).  Bref, la technologie est prometteur. Et si vous cherchez un moyen d'écouter de la musique en période de canicule alors foncez.</t>
  </si>
  <si>
    <t>C'est étrange j'ai reçu l'écouteur bien emballé et dans une petite boite toute mignonne et bien protégé. Mais au bout de quelques jours d'utilisation, l'écouteur coupe la musique, démarre la lecture, change de chanson et pour couronner le tout, il ne fonctionne plus. Hier je l'ai examiné et j'ai constaté que le fil est cassé de l'intérieur. Peut-être que c'est un défaut de fabrication. Mais bon, vu le prix.</t>
  </si>
  <si>
    <t>Adidas tour simplement Super rien à ajouter.</t>
  </si>
  <si>
    <t>satisfaite a fait beaucoup plaisir</t>
  </si>
  <si>
    <t>MAGNIFIQUE je le porte tous les jours il est MAGNIFIQUE et livré dans une belle boite La chaine est un peu longue à mon gout donc j'ai changé pour que l'arbre de vie soit pile dans le creu de mon cou Il brille et est de très bonne qualité JE SUIS TRES CONTENTE MERCI</t>
  </si>
  <si>
    <t>Pratique Très pratique, beaucoup de rangement</t>
  </si>
  <si>
    <t>Annonce conforme au produit Marque Amazon - AURIQUE Jogger - Pantalon – Femme  Quoi dire dessus : Vous ne quitterez plus ce pantalon de jogging conçu pour vous mettre l'aise en toute circonstance. Que ce soit pour aller au sport avec un haut de survêtement, ou rester chez soi pour cocooner, ce modèle tout doux et stretch offre un confort absolu. Emballage : Dans un sachet Le point négatif : Le point positif : La matière est douce à l'intérieur Les poches appliqué sont grande. Belle matière et jolie coupe. Très pratique à enfiler , douceur , confort du tissu.  Cédric</t>
  </si>
  <si>
    <t>bottes rien a dire parfait !!!</t>
  </si>
  <si>
    <t>parfait^-^ J'ai acheté cette montre pour mon père et ça a l'air tellement bon qu'il en est très content. Montre conforme à la description et les photos. Elle a une forme simple et élégant et emballer dans une boite magnifique. sa couleur noire dégage une dimension de mystère. elle&amp;nbsp; apporte de la rigueur par sa couleur. Le bracelet fait en acier inoxydable de qualité, il est durable, pratique et réglable, idéal pour un usage quotidien, avec surface lisse pour un port confortable. Elle a un designe minimaliste avec des aiguilles et des repères colorés en rouge contrastant avec le cadran noir qui confère à la montre un aspect à la fois élégant et séduisant. Bref, de manière générale, je suis tellement satisfait de cette montre et je le recommande.</t>
  </si>
  <si>
    <t>parfait bonne contenance, peu encombrante sur un plan de travail, très rapide, se nettoie très facilement. gain de temps tous les matins</t>
  </si>
  <si>
    <t>Parfait Ceux qui aiment beaucoup de rangement, passez votre chemin ! Petit sac parfait pour les voyages car permet de prendre l'essentiel lors d'une visite sans être encombre.</t>
  </si>
  <si>
    <t>Veste homme Bonne qualité bonne taille tient chaud</t>
  </si>
  <si>
    <t>Super Pas trop épais. Fonctionne très bien avec une petite plastifieuse à 30€ achetée ici. RAS. Très content de mon achat.</t>
  </si>
  <si>
    <t>Très bien Le bonheur frissons garantit</t>
  </si>
  <si>
    <t>Parfait Les vendeurs de lait écrivent toujours que le mélange des laits en poudre est facile. Quand le bébé hurle devant son biberon bouché par un grumeau, on n'y croit plus. cet ustensile est indispensable pour des nuits tranquilles!</t>
  </si>
  <si>
    <t>bracelet de montre Swatch Très joli bracelet en silicone et facile à monter sur une montre, les outils sont fournis.</t>
  </si>
  <si>
    <t>Déçue J'ai commandé ces chaussures de plage pour mon fils. Elle sont jolies mais taillent beaucoup trop petit !! La taille commandée ne correspond absolument pas aux tailles habituelles de la marque. Je les retourne.</t>
  </si>
  <si>
    <t>décevant vraiment enfantin</t>
  </si>
  <si>
    <t>contrefaçon ce ne sont pas des vrai, j'ai fais un retour immédiatement</t>
  </si>
  <si>
    <t>Déçu 5 petits livres  simples et une boîte en carton pour combler le vide</t>
  </si>
  <si>
    <t>Taille petit J'ai commandé ce pull pour Noël pour mon copain. Celui porte selon les marques entre la taille M voir du L (il est fin mais très grand). Pour ne pas prendre de risque je lui ai commandé ce pull en taille L, qui lui va plutôt bien mais qui taille tout de même un peu petit pour une taille L. Sinon le pull est de bonne qualité, cela reste un basique à avoir dans son armoire.</t>
  </si>
  <si>
    <t>Good Good</t>
  </si>
  <si>
    <t>A croquer ! Pour une première expérience, c'est plutôt une réussite. C'est sabots sont très agréables à porter, aussi bien dehors que dedans, à la maison comme en vacance. Ils sont légers, faciles à enfiler, confortables, tiennent bien aux pieds. Des sabots tout terrain. Le seul bémol, ils taillent petit, il faut le savoir avant d'acheter, prévoir une taille de plus. Bref, un achat que je ne regrette pas, pourvue que ça dure.</t>
  </si>
  <si>
    <t>Jolis très jolis et taille de perles adequate</t>
  </si>
  <si>
    <t>Matière légère et douce Bon article</t>
  </si>
  <si>
    <t>Satisfaite Satisfaite du Collier...la longueur parfaite...ni trop long ni trop court... fermeture a visser... je recommande ce collier pour nos bébés.</t>
  </si>
  <si>
    <t>Sacoche cuir pour homme Superbe !!! Très belle qualité, sent bon le cuir, belles couleurs et coutures parfaites. Je suis ravie de cet achat.</t>
  </si>
  <si>
    <t>quello che cercavo Ce poco da dire, paio identico ad un altro che ho dovuto buttare perché ormai distrutte. Restano sempre un valore sicuro.</t>
  </si>
  <si>
    <t>Parfait Pas de commentaire particulier</t>
  </si>
  <si>
    <t>Parfaite Parfaite...pour un homme plutôt grand, mais cette montre «&amp;nbsp;a de la gueule&amp;nbsp;» et fonctionne très bien. Facile à paramétrer.</t>
  </si>
  <si>
    <t>idéal indispensable lorsque l'on a des animaux, aucun risque pour les peaux fragiles</t>
  </si>
  <si>
    <t>confortables légères et confortables</t>
  </si>
  <si>
    <t>Excellent sac en cuir C’est du véritable cuir. Nombreux rangement. Finitions et qualité sont excellentes Qualité prenium, à acheter sans hésitation. Deux modes utilisations bien pratique: sac à dos et en sacoche normale</t>
  </si>
  <si>
    <t>Finesse du produit Tres bel article Tres féminin et bien taillé</t>
  </si>
  <si>
    <t>Stérilisateur, chauffe-biberons... top Super cadeau offert pour la naissance d’un petit bout, L’appareil a une superbe finition, Beaucoup de fonctions, il n’est pas trop volumineux. Tout est bien expliqué facile d’utilisation. Je recommande</t>
  </si>
  <si>
    <t>Bonnes chaussettes de la marque Dim Très bine chaussettes de marque Dim</t>
  </si>
  <si>
    <t>Parfait ! Acheté pour les études et pour respecter la réglementation contre les calculettes programmables.</t>
  </si>
  <si>
    <t>Magnifique lampe Je l’avais déjà acheté chez nature et découverte, pas du tout au même prix que sur le site Amazon ,  je suis simplement ravie est elle est d’une qualité exceptionnelle</t>
  </si>
  <si>
    <t>Commentaire c’est un bon produit, j’aime bien. Il a une bonne qualité; donc je vous recommande.</t>
  </si>
  <si>
    <t>mini bouilloire de voyage je suis très contente de mon achat. elle est parfaite pour faire une tasse de thé en vitesse à toute heure de la journée et elle tient peu de place.</t>
  </si>
  <si>
    <t>A peine reçu et déjà elle ne fonctionne pas J'ai reçu la dymo ce jour toute contente et en voulant l'essayer il s'avère que celle ci ne fonctionne pas. Je suis à la lettre les explications et rien ne se passe. Je suis déçue moi qui était si contente de l'avoir !</t>
  </si>
  <si>
    <t>Puma taille petit donc prenez 2 tailles au dessu heureux de l'avoir reçu rapidement mais déçu de la qualité du produit, la finition est clairement douteuse et une tache jaune à l'interrieur de la chaussure.. Néanmoins content de la réception mais pour son prix les constructeurs auraient au moins pu faire un effort sur le logo BMW</t>
  </si>
  <si>
    <t>Mauvaise qualité / me correspond pas à la description Produit reçu sans coffret dans un simple sachet plastique. Pas de manuel d'utilisation Pas de garantie Pas de tige métallique permettant la fixation du bracelet au cadran  L'ensemble ne correspond pas à la description du produit et à la qualité attendue.</t>
  </si>
  <si>
    <t>Un super design mais pas très pratique, Ils sont très beaux, design mais pas super pratique. Ils sont plus larges que la normale. Notre bébé de 9 mois n’a aucun mal à bien le tenir en main , néanmoins il a du mal à boire son lait. En effet, ce dernier ne laisse pas couler le lait.</t>
  </si>
  <si>
    <t>bonne qualité mais problème de taille un soutien-gorge qui aurait pu être parfait, très bon maintien. Doublé à l'intérieur, bretelles ajustables en X avec système d'amorti dans me dos...sauf que taille au moins une taille en dessous, le 85A =80A et encore! tailles chinoises???? Dommage!!!</t>
  </si>
  <si>
    <t>nikel chrome alors que je les avais essayé en magasin, et qu'il n'avait pas ma pointure, je les ai trouvé sur amazone, livrée en 72h et 35€ mois chers qu'au magasin!</t>
  </si>
  <si>
    <t>Tres bon sons Très bon casque, seul inconvénient il n’y a pas de micro pour parler au téléphone. Le rapport qualité prix est excellent</t>
  </si>
  <si>
    <t>tres utile Règles très utile notamment pour les bacheliers pour les croquis de géographie. Très facile à utiliser. J'enlève 1 étoile car ils ont remis les même symboles à peu près (carré, rectangle) dans les memes dimensions alors qu'ils auraient pu en proposer d'autres.  N’hésitez pas à laisser un avis positif si mon commentaire vous a aidé. Je vous en remercie.</t>
  </si>
  <si>
    <t>Excellent Très bon produit  Agréable et confortable</t>
  </si>
  <si>
    <t>Table de massage pliante bonne largeur, patte en inox. Juste le trou pour la tête à une couture et c'est gênant. les accessoires sont bien en dessous de la table</t>
  </si>
  <si>
    <t>Bon support de casque à petit prix Produit reçu dans les temps, bien emballé, pas de mauvaises surprises.  Le support de casque est conforme à l'annonce, utilisé pour un casque Sennheiser PC 360 G4ME, et rempli parfaitement son travail. Très facile à monter, il est également très léger. A ce prix, les 5 étoiles sont entièrement méritées.  Je recomme le produit et le vendeur.</t>
  </si>
  <si>
    <t>Supers sacs ! Bon produit Bonjour à toutes et tous, Vraiment génial ! Surtout n'hésitez pas. Si vous avez la moindre question, pensez à m’en un message.</t>
  </si>
  <si>
    <t>Pratique Utile</t>
  </si>
  <si>
    <t>top a tres bien fait le job! on etait envahi de mites a la maison, en moins de 3 jours, plus rien :-)</t>
  </si>
  <si>
    <t>Jolie et pratique Très pratique pour verser. Bonne prise en main de la poignée. Joli design rétro et pas trop encombrant vu la contenance.</t>
  </si>
  <si>
    <t>jolie , top il es juste magnifique</t>
  </si>
  <si>
    <t>Autonomie/ qualité /son au Top Super d'utilisation, une fois chargé l'oreillette dure longtemps voire plusieurs jours. Son nikel, rien à dire. Je ne suis pas déçue de cette marque MPOW après des écouteurs commandés de même marque et également de super qualité. Je recommande🎧✅👌</t>
  </si>
  <si>
    <t>Chauffe vite et garde la température Cette bouilloire me donne entière satisfaction : bonne prise en main, petit ne prend pas de place. facile d'utilisation, montée en température rapide, elle verse bien, pas particulièrement bruyante, design élégant. Permet de choisir facilement la température souhaitée pour l'eau.  Maintient la température une fois atteinte. Cette Mode "Maintien température" est très  efficace Je suis satisfait.</t>
  </si>
  <si>
    <t>Super Super pour nettoyer les biberons et l'embout a tetine est nickel, le biberons et bien nettoyer</t>
  </si>
  <si>
    <t>rapport qualité prix Très bon produit pour un prix très correct avec une livraison très rapide Enchantée de cet achat</t>
  </si>
  <si>
    <t>rouleau sopalin Très bonne qualité, je recommande</t>
  </si>
  <si>
    <t>Ne fuit pas et chauffe rapidement ! La bouteille ne fuit pas si on respecte bien l'assemblage préconisé : pour le transport, le couvercle violet doit se visser SOUS la bouteille (photo 2). Le récipient vient ensuite recouvrir la bouteille (photo 3), même vissé à fond il n'appuie pas sur le bouchon verseur de la bouteille : il n'y a donc aucune fuite pendant le transport. Il y a un tableau sur le récipient qui indique la durée pour atteindre 37°C en fonction de la quantité d'eau dans le biberon et de sa température (ambiante ou sorti du frigo). Je remplis donc la bouteille d'eau bouillante, j'assemble comme indiqué plus haut et je pars en balade. À l'heure du biberon, je dévisse le récipient et le couvercle, je place mon biberon rempli de 210 ml d'eau à température ambiante dans le récipient. Je verse l'eau chaude de la bouteille dans le récipient jusqu'au trait "Max", et je visse le couvercle pour maintenir au chaud (photo 1). Au bout de 2 min 30 s je sors le biberon du récipient, il est bien à 37°C. Je m'en sers même à la maison, ainsi bébé patiente pendant la même durée qu'on soit à domicile ou en balade, ce qui évite les pleurs de frustration.</t>
  </si>
  <si>
    <t>Beau sweat Beau sweat à capuche, bonne qualité, taille bien, grands choix de couleurs. Je recommande cet article.</t>
  </si>
  <si>
    <t>Très bon produit Produit identique aux photos, livraison très rapide. Très bon achat, je recommande.</t>
  </si>
  <si>
    <t>baisse de qualité Retour de deux semaines de trekking . Semelles beaucoup moins performantes que sur mon ancien modèle :Trop fines et adhérence nulle sur surfaces (pierres) humides.Également, je n'ai jamais eu les pieds humides avec les précédentes... là oui. Je suis déçu de mon achat. La course au poids à un prix !</t>
  </si>
  <si>
    <t>A fuir Commande jamais reçue Certes boucles pas chères Même pas fait les démarches pour réclamation Mais donc à éviter lourdement</t>
  </si>
  <si>
    <t>Qualité mediocre Très déçue par la qualité des paires de chausettes. Elles n ont pas de tenue. Achetées pour mon fils 35-38, elles vont à mon ami 43-46</t>
  </si>
  <si>
    <t>Bon produit mais... Les grands biberons des autres marques (remond par exemple) ne rentrent pas dans le stérilisateur. Le socle rouille rapidement. Heureusement la stérilisation est rapide.</t>
  </si>
  <si>
    <t>Comparer c'est choisir J'avais un casque de la même marque acheté il y a 2 ans, mais il s'est retrouvé écrasé entre 2 valises dans un sac.. J'ai donc racheté le nouveau model de la marque.  D'un point de vue qualité du son, je suis un peu perplexe. Il manque franchement des basses, et lorsqu'on enclenche le mode "Réduction du bruit", le son est bien amplifié (on se retrouve dans une bulle de confort), mais les basses disparaissent.. Certes, on peut compenser en modifiant les réglages sur le smartphone, mais s'il m'arrive de trouver le bon réglage pour une musique, il ne correspond pas à la musique suivante... Bon à la longue on s'y fait.  J'ai comparé avec un Bose à 350€, et compte tenu de la différence de prix, je ne suis absolujment pas décu .J'ai même l'impression que le S7, à ce prix là - 100€ avec une réduction de 25€, c'est cadeau.  Concernant l'autonomie, c'est parfait. Paris-San Francisco, 12 heures de vol sans aucun problème, en Bluetooth. C'est idéal pour l'avion, car le mode Réduction de Bruit élimine VRAIMENT le bruit des moteurs, mais il est possible d'entendre l'hotesse vous demander si vous voulez "Poulet/Riz" ou "Boeuf/Carottes"...  J'ai aussi testé le micro intégré pour les appels main libre... c'est bien... pas besoin de câble. Je recommende.</t>
  </si>
  <si>
    <t>bon produit Un seul défaut, elle s'arrête toute seule au bout de quelques secondes. Il faut faire vite pour les manipulations hors système de pesage car la balance s'éteint. Sinon très satisfaisant et précise.</t>
  </si>
  <si>
    <t>Produit conforme à mon attente. La montre est simple d'utilisation et est très pratique d'emploi. Le bip sonore est cependant un peu faible et il faudra avoir le sommeil léger pour se réveiller avec l'alarme. Il ne restera plus qu'à tester l'étanchéité.</t>
  </si>
  <si>
    <t>Pour faire le DJ ! Génial cadeau pour un ou une adolescente. Génial cadeau pour ceux qui aiment expérimenter en musique et veulent jouet au DJ pendant une soirée. Pour ceux qui partage l'appartement ou la maison, ce sera peut être un peu plus difficile à supporter. S'installe via un port USB sur l'ordinateur portable et là, la musique résonne. C'est l'heure des expérimentations auditives. Il y a toutes les fonctions indispensables pour un vrai DJ. Pour les fêtes, c'est un bel outil.</t>
  </si>
  <si>
    <t>Parfait Taille parfaite</t>
  </si>
  <si>
    <t>Bien Je recommande</t>
  </si>
  <si>
    <t>Taille un peu grand Très bonne chaussure avec une semelle en reliefs qui épouse parfaitement le creux du pieds, taille un peu grand donc prenez bien votre taille voir 1/2 en dessous.</t>
  </si>
  <si>
    <t>confortable Chaussons agréable à porter et bonne taille.</t>
  </si>
  <si>
    <t>Livraison rapide Parfait</t>
  </si>
  <si>
    <t>GENIALES!!! Elles sont vraiment adorable et de très bonne qualité! Elle font vraiment leur effet "petit aquarium". En achetant je me demandais si c'était vraiment de l'eau avec un petit poisson en plastique mais c'est en résine dur. Je les ai reçues très vite en plus! Pour le prix je recommande!! (si mon commentaire vous a plus, cliquez sur "utile" Merci :)  )</t>
  </si>
  <si>
    <t>Difficile de faire mieux ! Nous apprécions énormément cette gamme car les feutres ne sèchent pas, la mine est résistante à la pression et aux chutes, les couleurs sont vives, et surtout l'encre part facilement à l'eau éventuellement savonneuse (peau, tissu...)  Il existe plusieurs formes de feutres et de mines. Ici les 2 paquets de 18 feutres embarquent des mines medium et des feutres relativement fins. Pour des enfants en maternelle, préférez les feutres plus épais pour que leurs petites mains puissent les attraper et surtout les tenir plus facilement. En fin de maternelle ou dès l'élémentaire (ce sera aussi vrai pour la suite !) ces feutres répondront parfaitement aux exigeances et sont donc tout à fait recommandables sans limitation aucune.</t>
  </si>
  <si>
    <t>acheté 2 pack car je connais c'est bon j'avais déja acheté ... bons stylos de bonne qualité assez solides et fins même a l'écriture moi je les trouvent très bien et bien reçus en pochettes de 10 pièces ; je suis satisfait et je vous les conseils</t>
  </si>
  <si>
    <t>Bôme musculaire Je suis très satisfait de se bôme livraison très rapide</t>
  </si>
  <si>
    <t>Coffret dinosaures Coffret que j’ai acheté pour offrir à Noël pour mon neveu fan de Dinosaure, je ne sais pas ce qu’il contient réellement mais le coffret et très joli d’exterieur.</t>
  </si>
  <si>
    <t>Géniale Super pratique. Hygiénique. Peuvent être séparées, comparé à d autres modèles.</t>
  </si>
  <si>
    <t>Une première pour moi! C'est la première fois que j'achète des converses! J'ai 30 ans. Et bien je suis super satisfaite! Ce colorie "jeans" va avec tout! Heureusement par contre que je suis allée dans un magasin, essayer une paire car moi qui met du 39, j'ai du commander du........38!!!!!! J'ai eu un peu mal les deux premiers jours mais la toile se fait rapidement a mes pieds. Je pense déjà a me prendre des montantes en marron pour l'automne prochain ;-)</t>
  </si>
  <si>
    <t>Rapide, précise, perfectionnée J'ai reçu cette bouilloire pour Noël (donc je ne peux dire où elle a été achetée). A l'origine, j'avais parlé de la QD658A de la même marque, mais les commentaires négatifs (odeur et goût de plastique dans l'eau) me faisaient hésiter... Et aussi mes parents qui souhaitaient me l'offrir et qui ont finalement opté pour ce modèle. Bref,  les avantages de la Serena : - chauffe rapide avec la température qui s'affiche au fur et à mesure (donc on sait où on en est à tout moment de la chauffe). - température réglable avec précision : de 5° en 5° de 50° à 100° + 3 températures préréglées. Bref, on peut tout faire ! - maintien au chaud 30 minutes : idéal pour anticiper (ici, on démarre la bouilloire du thé et on prépare tout avant le repas, l'eau est parfaite à la fin et il ne reste plus qu'à verser !). - bouton marche arrêt : si on lance l'eau et que finalement on n'en a plus besoin, ou si on souhaite interrompre le maintien au chaud par exemple, pas besoin de soulever la bouilloire de son socle, juste une pression sur le bouton. - pas de lumière LED en permanence : outre le gâchis, certains évoquent des risques pour les yeux... Je ne sais ce qu'il en est mais dans le doute je préfère éviter. Les moins (parce qu'il faut dire quelque chose) : - ouverture/fermeture du couvercle : j'avais une bouilloire avec bouton d'ouverture en haut du manche et je pouvais ainsi ouvrir et tenir la bouilloire d'une seule main. Là, il faut les deux mains, c'est un peu moins pratique. - emplacement du niveau d'eau : situé sous la poignée et non sur les côtés, il est moins pratique à voir. Ce sont les seuls défauts que je lui trouve actuellement après quelques jours d'utilisation, et franchement rien qui me fasse regretter un autre modèle vu les avantages de cette bouilloire.</t>
  </si>
  <si>
    <t>Rapport qualité prix impressionnant • Livraison rapide et emballage nickel • RAS produit conforme à la description • Ma fille ne fait plus de colique grâce à ses biberons et tétines • Longévité assurée Je recommande sans hésiter</t>
  </si>
  <si>
    <t>Bonne idée cadeau Acheté pour un cadeau de Noël. Très belle présentation dans une jolie boîte.</t>
  </si>
  <si>
    <t>7 mois plus tard utilisé avec un raspberry pi 3B+ défaut de puissance ne délivre plus l'ampérage suffisant</t>
  </si>
  <si>
    <t>Pochette ordinateur trop petite Mon ordinateur de 15.6" ne rentre pas dans la pochette (il manque 4cm de hauteur).</t>
  </si>
  <si>
    <t>Chauds confortables mais Chaussent vraiment grand, si vous hésitez prenez la pointure en dessous. Chauds, confortables, mon père les trouve glissants ( sur 1 revêtement type moquette)</t>
  </si>
  <si>
    <t>Pas mal, mais... Le son, la connectivité Bluetooth, l'autonomie, c'est pas mal. Aucun pb pour s’éloigner de &amp;gt;10m de l’ordinateur ou du téléphone, la connexion Bluetooth continue à fonctionner. Par contre, déçu par le mode annulation de bruit, on entend toujours les gens parler et il faut monter le volume de ce que l'on écoute. Le micro est sensible, mais trop sensible pour les conversations Skype; le micro capte la voix des personnes à 2-3 mètres, et s'ils sont dans la même conversation Skype ça ne marche plus très bien. Et le micro marche uniquement par Bluetooth; la connexion audio filaire permet uniquement d'écouter de la musique. Sur ce modèle, la connexion USB sert seulement a la recharge de la batterie, contrairement a d'autres Sennheiser comme la PX550 ou la Momentum M2  wireless qui se comportent comme des casques/headset USB.</t>
  </si>
  <si>
    <t>Bon produit Produit conforme à la description, très confortable.</t>
  </si>
  <si>
    <t>attention aux demi taille correspond tout à fait à la description mais attention, je fais du 37 1/2 et le 38 est quand même très grand et le 37 vraiment trop petit ...  (normalement je trouve mon bonheur malgré mes pieds bizarres).</t>
  </si>
  <si>
    <t>Réception rapide mais moins bonne qualité L'encre semble de moins bonne qualité que les cartouches originales. Le jaune l'emporte sur mes impressions. Puis j'ai toujours un message mentionnant que je n'utilise pas des cartouches officielles.  Cependant, réception rapide et prix intéressant.  Update : super service client et suivi. N'hésitez pas à commander pour bénéficier d'un prix intéressant pour des impressions "maison"</t>
  </si>
  <si>
    <t>Bien Convient au clipper.une pierre à briquet est une pierre à briquet convient au Zippo sans doute ..</t>
  </si>
  <si>
    <t>Adapté au grand froid Elles ont passé l'hiver à mes pieds dans le nord Canadien et tout va bien !! Je recommande cette marque</t>
  </si>
  <si>
    <t>Top Super gamme de biberon utilisés dés le 2 ème mois pour l'eau, anti colique et joli design. Tétine en silicone agréable</t>
  </si>
  <si>
    <t>Efficace impeccable tout ce que j'attendais. Petit pratique</t>
  </si>
  <si>
    <t>HAPPY Je recherchais ce modèle depuis longtemps et après un coup d'oeil sur amazon j'ai trouvé mon bonheur! Très bon rapport qualité/prix, je suis pleinement satisfait de ma ICE WATCH!</t>
  </si>
  <si>
    <t>Solide / Pratique / Contenance Juste Parfait Après 3 essais de boîte , celle ci est la meilleure . Le système de dévissage est vraiment solide et se tord pas à la longue comme les dodies. La contenance est top : 7 cuillère + 4 de céréales !! L’utilisation pareil, rien a dire de négatif ! Et j’avais hésiter car le prix était bas ... aucun regret !!!!</t>
  </si>
  <si>
    <t>Ok Produit conforme</t>
  </si>
  <si>
    <t>montre vintage casio montre plus bronze que or rose. Mais je l'adore. La qualité CASIO est au rendez vous. Le bracelet est en acier peint et pour l'instant aucune rayure . donc ça a l'air solide :-)</t>
  </si>
  <si>
    <t>Cartouche fonctionnelle Tout a fait fonctionnelle sur mon imprimante HP, cette cartouche répond parfaitement à mes besoins d'impression occasionnelle. Installation facile et impression de qualité.</t>
  </si>
  <si>
    <t>Café pour grande famille. Une cafetière dont je connais la marque et la qualité qui par sa contenance plus grande m'offre un café selon mes goûts et désirs. Juste une chose, prévoir des filtres n° 5 ou 6 Pour ma part j'ai pris du numéro 6 pour ne pas avoir un débordement de mare dans mon café du matin. Je recommande sans hésiter ce produit ...</t>
  </si>
  <si>
    <t>Belle chaussure Bon rapport qualité prix, ma fille l'adore, livraison rapide et bien emballée</t>
  </si>
  <si>
    <t>Taille S Ayant une petite poitrine (80 A)  j'ai pris la taille s, je pensais que sa allait m'aller trop grand mais finalement elle est pile Poile a ma taille . Niveau esthétique elles sont très jolie. Et qualité prix rien dire</t>
  </si>
  <si>
    <t>TRES BON SON Téléphone sony, écouteurs sony... les deux sont parfaits</t>
  </si>
  <si>
    <t>Sacoche pratique et solide Sac avec de multiples poches très pratique pour se balader et avoir ses papiers sur soi. Solide et semble imperméable à voir à l’usage...</t>
  </si>
  <si>
    <t>Réception FM Radio indigne J'avais choisi ce modèle pour la fonction radio FM embarquée, mais la réception n'est pas suffisante pour rendre le produit utilisable. Seuls les crachotements sont nets quelle que soit la fréquence choisie. ... Je le renvoie.</t>
  </si>
  <si>
    <t>Arrêtez de vendre du vent. Le produit n'a rien à voir avec la photo de vente. Grosse arnaque! Les gars c'est carrément à éviter ce produit. J'ai du patienter presqu'1 mois pour recevoir un flocage de logo sur le dos et sur les manches. Le tissu ressemble à du plastique. Ne vous faites pas avoir c'est du fake à 100%</t>
  </si>
  <si>
    <t>Basket Semelle.dessous qui ce fent en.moins de  3 semaines décevant car j y suis bien.dedans</t>
  </si>
  <si>
    <t>Entre 3 et 4 étoiles Reçu hier... Voici mon impression sur ce casque : Les moins :  - déçu des basses du casque, un peu trop dans l'aigu a mon goût  - un peu cher pour une qualité de son comme ça de sennheiser, habitué à mieux en casque de jeu - sorte de sifflement, claquement de bille par moment au début du parrainage avec un tel  - beug par moment avec le blueetown du pc sur un film  Les plus :  - casque qui semble solide  - volume assez haut  - casque anti bruit, pratique dans les transports en commun etc  - légé, tient bien sur la tête</t>
  </si>
  <si>
    <t>Jolie paire pouvant se marier avec beaucoup de tenues. Cette paire de chaussures blanche vous démarquera du lot de stan smith et superstar d'Adidas. La chaussure est  sobre et bien proportionnée. Elles sont très confortables. Attention cependant au cuir assez fragile.  La semelle est également très fragile et se découd peu à peu, laissant entrer toutes les saletés et l'air à l'intérieur de la chaussure.  Bilan mitigé, donc.</t>
  </si>
  <si>
    <t>indispensable pour la géographie A utiliser tout au long de sa scolarité jusqu'en fac : permet de rendre une copie détaillée et propre dans cette matière jusqu'en master ! La rareté fait le prix mais la qualité est au rendez-vous</t>
  </si>
  <si>
    <t>produit bien</t>
  </si>
  <si>
    <t>ok Rapport qualité prix correcte pour le prix que je l'es acheter</t>
  </si>
  <si>
    <t>Ma fille de 16 ans adore Offert à ma fille, et adoptée aussitôt. Dommage qu'il n'y ait pas de dorure sur les côtés du bracelet, mais faut vraiment avoir l oeil.</t>
  </si>
  <si>
    <t>BO avec style Très jolies BO. Elles sont fines.</t>
  </si>
  <si>
    <t>Sweat adidas Sweat très sympa belle qualité reçu en avance prix nikel</t>
  </si>
  <si>
    <t>Canon - KP-108IN - Cartouche d'Encre d'Origine. Aucun problème avec cet ensemble cartouche et papier pour une imprimante Canon SELPHY CP810. Je commanderai d'autre produit de même type.</t>
  </si>
  <si>
    <t>Top Très amusant, le son est d’une qualité plus que surprenante. Vraiment bien et très jolie. Les enfants adorent</t>
  </si>
  <si>
    <t>Ça marche avec tout les âges Bon qualité</t>
  </si>
  <si>
    <t>Parfait pour ranger son casque Le casque est posé dessus et est très stable. C'est parfait, design et ça évite que ça traine !</t>
  </si>
  <si>
    <t>bonne machine Cette machine de mise sous vide fait bien son travail en aspirant l'air correctement et sans effort que ce soit des aliments secs ou humide, pour le pain on peut même faire le vide manuellement et scellé, et même que sceller sans mise sous vide. J'en suis très content</t>
  </si>
  <si>
    <t>superbes Adepte des polychromos de faber castle et des prismacolors, je suis bluffée par la qualité des crayons, ils sont gras, les couleurs très vives, pas besoin d'appuyer pour avoir un bel effet, se mélangent tout en nuance. Solides, franchement une très bonne surprise à recommander sans hésitation.</t>
  </si>
  <si>
    <t>Parfait Produit conforme ,convient parfaitement à un bébé de 6 mois ma fille adore et cela permet de ne pas angoisser à l'idée qu'elle s'étouffe avec un morceau de fruit.</t>
  </si>
  <si>
    <t>Salomon Comme toute les baskets salomon nickel. Par contre j'ai pris la meme pointure que d'habitude et un peu juste dommage</t>
  </si>
  <si>
    <t>très douillet ! vive l'hiver ! c'est parfait de rentrer dans son lit tout chaud ! l'avantage , ce sont les 2 télécommandes ! chacun règle comme il veut ! bonne qualité..</t>
  </si>
  <si>
    <t>Superbes baskets Taille parfaitement bien !</t>
  </si>
  <si>
    <t>PARFAIT!! pratique, spacieux, design original. égouttoir hygiénique qualité au top: solidité+++ rapport qualité prix: investissement durable sera également pratique pour la vaisselle de bébé</t>
  </si>
  <si>
    <t>Superbes !! Ces boucles d'oreilles sont juste superbes. Très élégantes, vraiment belles. J'adore !!</t>
  </si>
  <si>
    <t>A acheter les yeux fermés A seulement 11€, ce bracelet ne fait pas tâche monté sur une montre à plus de 1500€. Après plus de deux ans d'utilisation, il montre quelques signes d'usure mais s'est montré plus endurant que le bracelet original de cette montre de luxe.</t>
  </si>
  <si>
    <t>Un peu déçue Jolie mais pas facile à attacher car elles sont très fines et petites donc un peu déçue.. elles ont l’air fragiles</t>
  </si>
  <si>
    <t>Je ne recommande pas La qualité est bof les pièces ce casses avant qu'on est pu les poser correctement.</t>
  </si>
  <si>
    <t>Qualité minable... L’une des deux paires été cassée lors de l’arrivée de la commande Très léger, son mauvais Je ne recommande pas du tout</t>
  </si>
  <si>
    <t>Impeccable Très bon modèle , taille légèrement plus petit que d autres marques ( semelle moulée ) , bon confort. Excellent rapport qualité / prix</t>
  </si>
  <si>
    <t>Beaux produits pour le prix Beaux produits pour le prix</t>
  </si>
  <si>
    <t>forme triangulaire surprenante Biberon de grande contenance (270 ml) à la graduation lisible. Les anses - amovibles - aideront bébé à apprendre à prendre son bibi comme un grand. Une étoile en moins pour la forme triangulaire que je trouve surprenante et moins aisée à nettoyer qu'un biberon rond.</t>
  </si>
  <si>
    <t>Micro correct Points positifs : - Pas cher - Peu encombrant - Très pratique : pas de soucis de batteries puisqu'il est branché sur l'appareil  Point négatif : - Même en intérieur sans bruit autour, il y a un gros bruit parasite qu'il me faut corriger en post-prod. On perd énormément en qualité sonore, même si le son capté est proche du micro. Ai-je reçu un micro défectueux ?</t>
  </si>
  <si>
    <t>Bon maintient et confortable J'ai pris taille M(S) et la taille est parfaite! Un bon maintient sans être trop serré donc très confortable! Le seul petite inconvénient (pour l'été) est que la matière tient chaud. Je compte bien commander d'autres brassières de cette marque et je les recommande.</t>
  </si>
  <si>
    <t>Ras La protection est aux bonnes dimensions pour une carte grise 3 volets avec le coupon detachable, pour info carte grise éditée en 2017 Un peu compliqué à enfiler, il faut y aller délicatement pour le dernier volet au risque d'abîmer la carte grise L'envoi a été relativement rapide, quelques jours</t>
  </si>
  <si>
    <t>bon rapport qualité prix ras</t>
  </si>
  <si>
    <t>Ok J'adore !Les chaussures sont très confortable et la qualité est présente.Je suis très ravie d'avoir achhiverr ses Chaussures car ils sont bien adapté comme prévu et de plus je me suis fait livré rapidement.En bref une bonne paire de chaussures, bien aérées à un prix très raisonnable.Je recommande, la pointure est correct.</t>
  </si>
  <si>
    <t>Diffuseur parfait J’ai commandé ce diffuseur d’huiles essentiels à un vendeur très sympathique. Le colis a été livré très rapidement et en parfait état. Très simple d’utilisation, je l’ai installé sans aide et facilement. La notice explicative est claire et simple, j’ai donc pu mettre en route le diffuseur sans la moindre complication. Il fonctionne parfaitement bien, est silencieux et s’arrête tout seul lorsque le niveau de l’eau est trop bas. Les lumières changeantes du diffuseur sont apaisantes. Je suis très satisfaite de mon achat. Je recommande ce vendeur.</t>
  </si>
  <si>
    <t>Chauffe l’eau très vite Super produit</t>
  </si>
  <si>
    <t>Wouahw Très beau , et très simple. Je me lave avec chaque jour depuis maintenant 1 mois environ, il tient très bien, la couleur ne pars pas ou ne se transfert en un vert sur mon poignet. Pour ma pars il ne me gêne pas du tout et ne s'accroche nul part , même dans les pulls en laine.</t>
  </si>
  <si>
    <t>Belle pochette à bandoulière - Parfait pour un EDC Je pensais que le produit allait être grand  vu la taille mais au final c'est parfait. La contenance est importante avec toutes les poches. Un ventrale, une centrale et une dorsale, de quoi bien remplir votre sac. Mon carnet de chèque rentre sans problème ainsi qu'une petite bouteille d'eau. Ce sac remplit parfaitement son rôle pour un EDC urbain, couverture de survie, lampe torche, garot tourniquet militaire,baton lumineux type Cyalume, firesteel, petite trousse médical, couteau pliant, pince multitools  marqueurs/crayons, papiers d'identités, carte grise, chéquier attache clés... J'étais parti sur un sac d'une marque Maxpédition pour faire mon EDC mais à 90 euros le sac similaire en taille j'ai préféré me rabattre sur celui-ci beaucoup moins cher et plus passe partout. Je recommande. Pour la couleur, on serait plus sur un gris anthracite que sur du noir</t>
  </si>
  <si>
    <t>Sony MDR-ZX310B Casque Pliable - Noir ... Tout simplement parfait  pour l'usage auquel il est destiné. Principalement utilisé pour écouter les clips vidéos et les films sur smartphone, tablette, ordinateur ou télé, ce casque remplit bien son rôle. Je le trouve confortable et le fait qu'il soit pliable me permet de le faire suivre dans le sac à dos lors de mes déplacements en moto. Je trouve aussi très pratique la fiche jack à 90° qui permet au fil d'être toujours dans l'alignement d'un éventuel tiraillement. Difficile de demander beaucoup plus pour un tel prix.</t>
  </si>
  <si>
    <t>j'aime beaucoup J'aime beaucoup, taille 3XL tres bien. la qualité également est tres bien. visuellement ca en jette ! j'ai 37ans ca me rajeuni de 10ans !</t>
  </si>
  <si>
    <t>Très bien Ces aimants sont puissants. Étant souvent sujet à des douleurs au niveau du mollet (tendon d’Achille). Je les glisse dans mes chaussettes et cela s'avère efficace.</t>
  </si>
  <si>
    <t>Excellent Très bonnes chaussures</t>
  </si>
  <si>
    <t>PADGENE Baskets Les baskets sont sympas mais prévoir une taille au-dessus. Retour et remboursement effectué en moins de 24 heures. Je recommande ce vendeur très professionnel.</t>
  </si>
  <si>
    <t>Tres confortable Chaussures tres jolies et agréables a porter mais 8je chausse du 38 et les ai trouvées un peu grandes je conseil de prendre une demie taille en dessous dessous de sq pointure habituelle</t>
  </si>
  <si>
    <t>Joli Vraiment joli</t>
  </si>
  <si>
    <t>Super Je recommande ces livres. Ma fille qui est en cp les lis toute seule. L'histoire est écrit en gros caractère et n'es pas charger sa ne décourage pas les enfants</t>
  </si>
  <si>
    <t>Déçu par l'article Synthetique</t>
  </si>
  <si>
    <t>plastique léger  je déconseille le sac poubelle ne tiens pas , la structure plastique très très léger et cher pour ce que c'est!!  décu</t>
  </si>
  <si>
    <t>Paramètres divers à prendre en compte Je ne connaissais pas et j’ai découvert. Bon, au premier essai j’allais le renvoyer, puis en l’apprivoisant ou, plus exactement, en contournant la difficulté, j’avoue que ce n’est pas si mal, mais ce n’est pas le paradis non plus. Je m’en explique. Il faut bien reconnaître que si on le place sur une chaise longue (position semi-horizontale), en marche totale normale, on se détruit le dos dans la foulée... et je suis intimement convaincu que pour tout appareil de ce genre c’est du pareil au même, mais passons. Effectivement, si on le place à la verticale on peut doser le ressenti, mais c’est parfaitement inconfortable, car on a alors tendance de partir en avant vu la place qu’il lui faut et qu’il prend sur la chaise ou le fauteuil où il se trouve installé. Comme je le disais précédemment, j’ai contourné la difficulté en plaçant entre l’appareil et mon dos (sur une chaise longue, précisons), un matelas de plage... et là, tout devient différent... et surtout possible !</t>
  </si>
  <si>
    <t>la sonnerie ne fonctionne pas la sonnerie ne fonctionne pas, donc pas d'alarme</t>
  </si>
  <si>
    <t>Bien Produit conforme à l'attendu</t>
  </si>
  <si>
    <t>Simple Principe simple du bain marie Il faut juste savoir anticiper le biberon et s'y prendre 10 minutes avant l'heure Facile à transporter</t>
  </si>
  <si>
    <t>Belle montre mais Magnifique montre, juste on entend le bruit des aiguilles qui est assez fort quand on est dans un endroit calme ou avant de dormir</t>
  </si>
  <si>
    <t>Bon rapport qualité prix Chaussures pour le sport. Très légère et très confortable.</t>
  </si>
  <si>
    <t>Bien. Un peu abîmé sur le dessus dès le départ, un gros plis en travers, avec le temps ça se confond avec les autres.</t>
  </si>
  <si>
    <t>Biberons parfaits Parfait. Pour moi ce sont les meilleurs biberons.</t>
  </si>
  <si>
    <t>Belle et pratique Très belle sacoche, pas encombrante, de taille parfaite pour un porte feuille. Je l'ai prise en grise, très belle couleur et qualité. Je recommande</t>
  </si>
  <si>
    <t>Basket de qualité Basket de qualité, bonne pointure, confortable d'après l'utilisatrice. livraison dans le temps .</t>
  </si>
  <si>
    <t>INTERACTIVITÉ EXCEPTIONNELLE 1 an d'utilisation en intensif et toujours au top.  LES PLUS .Tout fonctionne parfaitement/bonne réactivité des connections externes/bon son/batterie ok/très léger/solide/housse protection pour voyage ok/bon design de plus discret/les options sur le casque son simples et utiles/qualité prix ok.  LES MOINS . Malgré une voix et un voyant sur le casque qui indique les connections, un icône visuel sur écran serait un plus..  Un casque tout en un vraiment pro et opérationnel, Je recommande. Opération d'achat et livraison Amazon 👍🚀.</t>
  </si>
  <si>
    <t>TIGER MCA68-BK Pied de microphone Facile à installer et à utiliser , pour cérémonie  dans une église , je recommanderais cet article à toute personne  qui en aurait besoin.</t>
  </si>
  <si>
    <t>Clarks Batcombe Lo Bottes très confortable, taille bien et elle sont belle. Merci</t>
  </si>
  <si>
    <t>Bon rapport qualité-prix Un produit que j'aime bien, il évite les traces de calcaire teintée dans le fond de la cuvette. Une sensation de propreté chaque fois qu'on tire la chasse.</t>
  </si>
  <si>
    <t>Très contente Correspond parfaitement à mes attentes</t>
  </si>
  <si>
    <t>Très bien, jolie Bracelet très jolie, conforme à la description... J'adore la couleur des différentes pierres, la grosseur des pierres est très bien pour moi... Il a rejoint les autres bracelet  ... Je ne l'ai pas acheté pour un effet santé, après si il en a un tant mieux...</t>
  </si>
  <si>
    <t>RAS Tres confortable et très dou</t>
  </si>
  <si>
    <t>Très bien Je ne suis pas une experte en aquarelle, seulement une débutante, mais je trouve ces pinceaux de bonnes qualités. Les poils tiennent bien et sont soyeux. Très très bon rapport qualité / prix.</t>
  </si>
  <si>
    <t>Excellent chauffe biberon, rapide et complet &lt;div id="video-block-R7Y3J2JITN1IU" class="a-section a-spacing-small a-spacing-top-mini video-block"&gt;&lt;/div&gt;&lt;input type="hidden" name="" value="https://images-eu.ssl-images-amazon.com/images/I/C1uCRB9aZqS.mp4" class="video-url"&gt;&lt;input type="hidden" name="" value="https://images-eu.ssl-images-amazon.com/images/I/81Vd3IRfSyS.png" class="video-slate-img-url"&gt;&amp;nbsp;J'ai acheté ce chauffe biberon pour les petits que je garde et franchement je ne suis pas déçue. Il chauffe le biberon à 37° en 1 minute maxi, maintient au chaud, stérilise les biberons. Il est un peu cher mais complet, pratique et facile d'utilisation. De plus, la fonction bain mari est pratique pour maintenir le biberon au chaud lorsque bébé fait une pause.</t>
  </si>
  <si>
    <t>Très bien écrit et s'efface correctement.</t>
  </si>
  <si>
    <t>Bons écouteurs avec de bonnes fonctionnalités Les écouteurs sont agréables à porter et la qualité du son est conforme aux attentes. Les écouteurs gauche et droit peuvent fonctionner ensemble ou indépendamment l'un de l'autre. les écouteurs ont un contrôle tactile et facile à utiliser. La mallette de transport a un affichage LED pour vous montrer le statut de charge restant. Il existe également un port USB qui peut être utilisé pour charger votre téléphone, mais la batterie intégrée n’a pas la capacité suffisante pour changer complètement votre téléphone, mais elle est utile en cas d’urgence. Attention: L’extérieur du boîtier de chargement se raye facilement. Veillez donc à le ranger. si non c'est un bon produit</t>
  </si>
  <si>
    <t>Conforme a la description Ce destructeur est très bien. J’ai pris la version micro coupure. Ce sont vraiment des tout petit morceaux. Je n’ai pas encore eu l’occasion de faire passer une carte bancaire dedans mais les tas de feuilles de 7-8 passent, un plus lentement mais elles passent.  Niveau bruit disons que si c’est pour un ou 2 papiers ça va. Mais si vous avez plusieurs documents à détruire peut-être faut il attendre d’être en journée. Le soir c’est un peu bruyant. Pas suffisamment pour retirer une étoile.  Pour moi il rempli le contrat Je reviendrai éditer  mon commentaire si je rencontre des soucis  pour la destruction de carte bancaire</t>
  </si>
  <si>
    <t>Super bouilloire Super produit une couleur pour chaque température. RAS</t>
  </si>
  <si>
    <t>En dirait c du contre façon La veste est nikel...mais le pantalon est trop grand en dirait taille l .. Cest vraiment dommage par rapport au prix 215 €  . Je suis vraiment dessus</t>
  </si>
  <si>
    <t>LEGGINGS arrivé trop grand et transparent, je ne le recommande pas</t>
  </si>
  <si>
    <t>Trop petit Je ne vais pas les utiliser trop petit</t>
  </si>
  <si>
    <t>Très bon rendu si il n’e Pas mouillé. Très joli bracelet, mais ne doit pas être mouillé  , même accidentellement car les auréoles ne partent plus.</t>
  </si>
  <si>
    <t>Bien Bon produit dans l'ensemble, mais le coton laisse beaucoup de petites peluches dans la machine au premier lavage et je trouve l'encolure et les manches un peu trop larges..!</t>
  </si>
  <si>
    <t>Super maintien Après un mois d’utilisation 3x/semaine l’article n’a pas bougé. Le maintien est toujours aussi top. Pas forcément simple à mettre et à enlever mais c’est le prix pour ce bon maintien.</t>
  </si>
  <si>
    <t>super je l'ai acheté en violet en taille M au lieu de L et j'ai bien fait  car il taille grand. Le M peut correspondre à une personne mettant du 42. Le tissu est fin attention ce n'est pas un molleton de fou lol. la couleur en violet est juste sublime je recommande</t>
  </si>
  <si>
    <t>Hotte aspirante Très bon produit content de mon achat fonctionne très bien très belle effet dans la cuisine</t>
  </si>
  <si>
    <t>Super Super joli ce penditif... Peut se porter pour toute occasion, il fait discret et en même temps super joli... En revenant de vacances sur un petit bronzage, une robe noire, il est vraiment parfait...</t>
  </si>
  <si>
    <t>Très très bien Je l'ai acheté pour ma fille , la taille qu'on a  demandé correspond , le tissu est doux au toucher et étirable. Au niveau de la taille ça ne tombe pas et ça ne serre pas non plus . Le jogging lui va très bien deux poches devant . Je suis contente de mon achat .</t>
  </si>
  <si>
    <t>Super produit Simple et efficace, rien à dire de plus sur ce produit.</t>
  </si>
  <si>
    <t>Qualité et efficacité Microphone presque parfait pour mon utilisation, il ne me manque plus qu'un filtre anti-pop pour éviter certains bruits désagréables mais facilement effaçables au montage. Ne prends pas trop de place, facile d'utilisation même pour les novices, beau design très pro, pied résistant avec un antidérapant en dessous pour le maintenir. On peut passer le fil à l'arrière du pied ce qui est extrêmement pratique. Pour ma part il n'y a pas vraiment d'aspect négatif,  si ce n'est peut-être que le micro enregistre les bruits environnants mais ça reste un détail encore une fois récupérable au montage. Rien à signaler, il change la vie ! Surtout pour les petits budgets qui veulent de la qualité.</t>
  </si>
  <si>
    <t>Fabriqué en italy il est très bien pour les pieds grecques Fabriqué en italy il est très bien pour les pieds grecques.  J'avais déjà commandé d'autres modèle de la même taille plus féminin de fabrication chinoise mais qui convenait mieux au pieds égyptien ou asiatique.  Ce modèle là reste de forme classique et de taille plus standard.</t>
  </si>
  <si>
    <t>Trés efficace Tablette qui nettoie bien zéro trace ! Très satisfaite</t>
  </si>
  <si>
    <t>Bon produit ! Très content de mon achat. J’avais les cumulus 17, ces nouvelles chaussures sont plus légères et très agréables.</t>
  </si>
  <si>
    <t>Parfait. Le top. Rien a redire. Fonctionnement au top. La progressivité de l éclairage est très bien diffusé. Bref je suis très satisfait</t>
  </si>
  <si>
    <t>botte comme un chausson Les bottes Aigle sont gages de qualité et en plus ce modèle est très confortable. De plus elle sont faite pour les gros mollets.</t>
  </si>
  <si>
    <t>Super produit ! Parents de jumeaux on cherche donc des produits efficaces et bon rapport qualité prix ! On en a acheté 2, on a beaucoup de biberons !! Ici aucun souci, que du positif ! Très facile à nettoyer, très résistant. Seul point négatif, on en a acheté 2 mais pas à la même date... L'un était vert fluo (très beau) et l'autre était vieux vert (moche...).  Si mon commentaire vous a été utile, merci de cliquer ! Si mes commentaires et partages d'expérience vous intéressent, vous pouvez vous abonner ! Merci!</t>
  </si>
  <si>
    <t>Plus aucune piqûre Produit efficace car les insectes  m'évitent maintenant</t>
  </si>
  <si>
    <t>Anti calcaire Parfait</t>
  </si>
  <si>
    <t>Parfait Les enfants adorent cette collection !</t>
  </si>
  <si>
    <t>Magnifique charm Pandora Très belle qualité pour ce charm Pandora que mon mari m'a offert à Noël. J'aime beaucoup la couleur bleu soutenu. J'ai vraiment été gâtée.</t>
  </si>
  <si>
    <t>Super je vous la recommande très pratique pour nous suivre partout Idéal pour le camping petite et pratique</t>
  </si>
  <si>
    <t>Masque facial. Parfait en masque facial !  Faire attention de l'enlever en vous rinçant, avant qu'il devienne trop vert clair, car cela risque de vous déshydrater la peau et de vous tirailler.  Le contenant est de bonne facture  :  très hermétique.</t>
  </si>
  <si>
    <t>Dommage Tout les types de biberons ne rentrent pas correctement. J'ai aussi bien des Dodies, des Avent, des Mam's, des Tommee tippee et des Suavinex et quand je les met ils ne s'emboîtent pas correctement et je suis obligé de retirer soit les bagues,soit les capuchons. En plus ce stérilisateur prend beaucoup de place</t>
  </si>
  <si>
    <t>Très mal tailler Pas du tous adapter, on croit acheter du s mais limite on se retrouve avec une taille entre le M et le L</t>
  </si>
  <si>
    <t>TROMPERIE SUR LE PRODUIT CE CHEMISIER N EST PAS EN MOUSSELINE DE SOIE MAIS C EST UN CHEMISIER EN POLYESTER 100% IL Y A TROMPERIE SUR LE PRODUIT</t>
  </si>
  <si>
    <t>Ne pas utiliser sur du tissu Acheté pour scratcher des coussins sur un cadre de lit afin de faire un tour de lit, le velcro ne colle pas au tissu et en essayant de le coudre au tissu, la colle de l’adhésif se dépose sur l’aiguille et la rend inutilisable. Dans le cadre de mon usage je ne recommande pas le velcro adhésif.</t>
  </si>
  <si>
    <t>Qualité/prix non justifié Ne tient pas le chaud aussi longtemps qu' une bouillote traditionnelle. De plus il faut la chauffer au 2minute 30 pour que ce soit à peu près chaud</t>
  </si>
  <si>
    <t>Bruyant mais rapide Bonne bouilloire de grande capacité et simple d'utilisation. Chauffe vite mais un peu bruyante</t>
  </si>
  <si>
    <t>Nickel Super produit</t>
  </si>
  <si>
    <t>Livraison rapide Cadeau</t>
  </si>
  <si>
    <t>sac impeccable ;C'est ma femme qui m'a pousser à acheter ce sac ,depuis je ne le quitte plus tellement il est pratique . Tout tient dedans portefeuille ,papiers voiture, liseuse et même un petit parapluie . Vraiment bien</t>
  </si>
  <si>
    <t>Legging avec poche très pratique Legging  de bonne qualité non transparent et avec poche sur le côté  très pratique</t>
  </si>
  <si>
    <t>Les yeux fermés Je vous recommande fortement cette montre à très bas prix pour une automatique de cette qualité! Invicta est un marque vers laquelle je vais acheter davantage c'est sûr!</t>
  </si>
  <si>
    <t>Une belle parure à offrir à son amoureuse ou à s'offrir Je cherchais un cadeau pour l'anniversaire de ma compagne. Cet ensemble paraissait être la bonne réponse.  Je n'ai pas été déçu de mon choix.  La première surprise vient de la taille du "cœur" du pendentif : beaucoup plus gros que je ne me l'imaginais. En plus le cristal est très beau et brille beaucoup. Les petits cristaux qui entourent le cœur sont eux-aussi très brillants (voir photos). Avec la monture qui brille d'un beau doré, l'ensemble est vraiment très joli et luxueux. Beaucoup plus que son prix. Le vendeur revendique des cristaux venant de chez Zwarovski, et vu la beauté des cristaux je pense que c'est effectivement le cas.  Les boucles d'oreilles sont à l'avenant. Les pierres sont très jolies et le montage est plutôt bien fait.  L'ensemble est de bon goût et brille de mille feux au soleil ou sous les lumières tamisées d'une soirée romantique. La parure sublime l'heureuse personne qui la porte.  Autant dire que j'aime beaucoup et ma compagne l'adore au point d'aller au travail avec et presque de vouloir dormir avec.</t>
  </si>
  <si>
    <t>Parfait, sauf l’absence d’un bouton on/off Cette version 2019 du mixamp est de très bonne qualité, tant sur la construction du produit que sur la qualité du son (avec un beyerdynamic DT 770 moddé et un modmic de chez Antlion pour moi). Aucune déception donc en ce qui concerne le son.  Le seul bémol du mixamp 2019, c’est l'incompréhensible absence d’un bouton on/off. Donc soit vous le débranchez à chaque fois (en risquant d’endommager vos ports usb/micro usb à force), soit vous le laisser allumer en permanence (led allumées et usure prématurée, même s’il est censé être conçu pour), notamment si vos consoles restent en veille.  Autant dire qu’aucune solution n’est satisfaisante. Pour pallier à ce défaut de conception, il faudra passer par un câble magnétique micro usb/usb de type netdot gen 10 (par ex) qui règlera le problème de manière pérenne et sans dégradation des slots usb/micro usb causé par des branchements/debranchement multiples.</t>
  </si>
  <si>
    <t>Plaisant J'ai acheté ces écouteurs Bluetooth spécialement pour mon jogging ou quand je fais du vélo. Comme sur la photo, les écouteurs sont livrés dans une boîte disposant de 4 voyants pour indiquer le niveau de charge. Ce boîtier fait office de chargeur et peut rechargé entièrement les écouteurs 4-5 fois. Les écouteurs sont censés avoir une autonomie de 6h. Je ne les ai jamais utilisés jusqu'à décharge complète, donc point à vérifier. La tenue est excellente et la qualité de son est bonne si l'on raisonne en termes de rapport qualité/prix. Un câble usb-c est fourni avec l'ensemble. Je recommande.</t>
  </si>
  <si>
    <t>joindre une notice pour règler l'heure j'ai eu un mal fou à la mettre à l'heure ! de plus aucune notice d'explications n'était jointe. de plus, je suis dans l'obligation de vous la retourner, souffrant un e différence de vingt minutes entre l'heure digitale et l'heure aiguilles !</t>
  </si>
  <si>
    <t>Amazing &lt;div id="video-block-R2LDEI7GVTESQ" class="a-section a-spacing-small a-spacing-top-mini video-block"&gt;&lt;/div&gt;&lt;input type="hidden" name="" value="https://images-eu.ssl-images-amazon.com/images/I/81RqPW52qDS.mp4" class="video-url"&gt;&lt;input type="hidden" name="" value="https://images-eu.ssl-images-amazon.com/images/I/91lO8taRhVS.png" class="video-slate-img-url"&gt;&amp;nbsp;J'ai été agréablement surpris du rendu visuel de cette montre. Je la porte tous les jours. J'espère qu'elle tiendra dans le temps</t>
  </si>
  <si>
    <t>Super Super j'ai offert à mon mari. Il aime trop cool.</t>
  </si>
  <si>
    <t>Article conforme Très jolies baskets conformes à mes attentes. Livraison ok</t>
  </si>
  <si>
    <t>Super offre à un prix intéressant Pas encore utilisés mais ils m'ont l'air bien solides, il y en a pour un bout de temps et en plus à un prix défiant doute concurrence. Je les conseille.</t>
  </si>
  <si>
    <t>Très bon produit Très bon produit conforme à la description Pas déçu par la marque Puma qui garde sa qualité</t>
  </si>
  <si>
    <t>Bien Très utiles en cas de débordement de couche sur les draps, en cas de rhume ou de gastro pour bien éliminer les virus....</t>
  </si>
  <si>
    <t>Beau produit J'ai acheter ce micro pour mon fils qui l'utilise très souvent sur un bras perche suspendu . Il est de bonne qualité avec un rendu visuel super. Je recommande ce micro, Très classe</t>
  </si>
  <si>
    <t>Tres bonnes baskets Ma fille les adore !</t>
  </si>
  <si>
    <t>Superbe Vraiment suprise très bonne qualité, agréable à porter et jolie sur le cadran il a un dégradé couleur ce n’est pas un reflet comme on pourrait le croire sur la photo , mon Fils l adore , de plus très bien emballée garantie et reçu rapidement</t>
  </si>
  <si>
    <t>Trop petit Trop petit mais c pas grave je vais l'offrir</t>
  </si>
  <si>
    <t>Arnaque !! Impossible de mettre la chaîne de sécurité. Très déçu. Ne pas prendre pour bracelet pandora</t>
  </si>
  <si>
    <t>Sans intérêt Câble à 2 balles ça fait câble fabriqué à la va vite  j ai pris le premier qui venait ça m apprendra</t>
  </si>
  <si>
    <t>Solide Il est un peu petit. Mais il est solide.</t>
  </si>
  <si>
    <t>Jolis bandeaux. Très joli et bien englobant comme j'aime. Les couleurs sont conformes à la photo. Le seil bémol est qu'ils se détendent en cours de journée.</t>
  </si>
  <si>
    <t>Attention a la taille !!! Bon produit, belles finitions… en revanche n'hésitez pas à prendre au moins 2 tailles au-dessus surtout si comme moi vous avaient un fort coup de pied… je viens de renvoyer ma paire de 44 pour du 45 alors que je chausse du 43 habituellement… j'espère que cela ira....</t>
  </si>
  <si>
    <t>Grille tout pain Un bon grille Reglages temp aisés A commander</t>
  </si>
  <si>
    <t>Bonne qualité du produit. Des chaussures, je vais les utiliser pour marcher !</t>
  </si>
  <si>
    <t>sweat ce sweat est très bien adapté pour mon travail Il est chaud avec sa capuche et de l'avoir lavé et relavé, le tissu n'a pas bougé je suis satisfaite de mon achat</t>
  </si>
  <si>
    <t>Très bien Très belle montre! Et longue garantie</t>
  </si>
  <si>
    <t>Parfaites converses, taillent bien Parfaites pour ma fille de 5 ans. Taillent correctement, plutôt grand. Pas facile à enfiler pour la maternelle.</t>
  </si>
  <si>
    <t>Génial Confortable, je n’ai jamais eu d’ampoules , c’est la première fois que je me sens si bien dans une chaussure de running</t>
  </si>
  <si>
    <t>Indispensable Livraison rapide en bon état. Pratique de part le nombre de dosette même quand bébé est petit et boit plusieurs fois le lait en petite dose. Petit bémol sur l'attache des capuchons qui a tendance à se casser mais empêchant aucunement l'utilisation des dosettes. En cas de perte d'un capuchon, les bouchons de bouteille tiennent très bien.</t>
  </si>
  <si>
    <t>Parfait Fonctionne bien</t>
  </si>
  <si>
    <t>parfait étui pratique pour les garder ranger, choix de couleurs Ils sont conforme à mes attentes et de bonnes qualités je recommande</t>
  </si>
  <si>
    <t>Son côté pratique Pour voyager ! C'est mieux qu'un sac à main ! Surtout pour promener dans les grandes villes !</t>
  </si>
  <si>
    <t>Montre homme avec rétro éclairage Robuste et stylé porté tout les jours depuis presque un an et aucun problème ni signe de détérioration je suis très satisfait de mon achat.</t>
  </si>
  <si>
    <t>Qualité bonne rapport qualité prix. 😉 Très jolies ces boucles d'oreilles pour  l anniversaire de ma petite fille  (5ans )elles ont toutes mimi cela lui à plu 😉</t>
  </si>
  <si>
    <t>Parfait Parfait ! Très beau et léger ! Merci</t>
  </si>
  <si>
    <t>petite, bien précise et sensible, ne pas souffler dessus on fausse la mesure !!! utilisée pour des poudres, la tare permet de multiples récipients.</t>
  </si>
  <si>
    <t>Idéal pour aider au devoir Vraiment parfait pour ma petite nièce.</t>
  </si>
  <si>
    <t>Légères et très confortables Utilisées pour une après-midi shopping, top confort. Je recommande à tous les fans de chaussons chaussures. On s'y sent comme à la maison.</t>
  </si>
  <si>
    <t>Livraison gratuite et rapide. Très bon produit.</t>
  </si>
  <si>
    <t>Couleurs décolorées J'ai mis cette note car 5 des 10 mousses sont décolorées : la couleur des mousse plus claires a déteint sur les autres. Sinon les mousses sont correctes.</t>
  </si>
  <si>
    <t>Pour le lycée Bonjour la calculatrice est bien présentée mais pour le prix elle devrait être tactile. C’est bien dommage en plus le modèle est imposé par le lycée</t>
  </si>
  <si>
    <t>Problème Problème de chargement . Ne charge pas si télé éteint  ?</t>
  </si>
  <si>
    <t>basique tissu très fin</t>
  </si>
  <si>
    <t>Joli petit pendentif Le pendentif est joli et presente bien mais ne pas trop compter sur la chainette fournie un peu fine et faible si c est pour un enfant.</t>
  </si>
  <si>
    <t>Attention à la pointure car taille grand Elles sont jolies, malheureusement pour moi j’ai pris ma taille habituelle et non 1/2 pointure en dessous donc elles sont beaucoup trop grande même avec deux paires de semelles .</t>
  </si>
  <si>
    <t>Sobre et efficace Bon produit !</t>
  </si>
  <si>
    <t>Efficace Ça marche pour se détendre un peu et soulager légèrement certaines douleurs.</t>
  </si>
  <si>
    <t>conforme une petite montre sympas !</t>
  </si>
  <si>
    <t>Très grand très fonctionnel Très bon produit , mon mari est très satisfait de sa sacoche</t>
  </si>
  <si>
    <t>Efficace J'ai utilisé ça pour ma voiture. Dès le premier matin, plus de buée sur les vitres</t>
  </si>
  <si>
    <t>Chaussons en laine de france. J'ai pris ces chaussons pour mon petit gars de 9 ans. Ils sont beaux très confortables la matière est magnifique et ils sont chauds. Ils sont dans les premiers temps assez glissants. Mais mon fils les adore. Merci et vive Rondinaud</t>
  </si>
  <si>
    <t>Bonne qualité ! Câble de bonne qualité - aucun problème.</t>
  </si>
  <si>
    <t>Parfait !!! Mon alimentation et ma nouvelle carte graphique ne pouvait pas fonctionner sans cet adaptateur et le résultat est à la hauteur !! Pour quelques € j'ai évité l'achat d'une nouvelle alimentation Ma carte est une Asus Cerberus GeForce GTX 1070 Ti et tout fonctionne parfaitement</t>
  </si>
  <si>
    <t>qualité du produit bon produit. Idéal pour les biberons doddie</t>
  </si>
  <si>
    <t>Idée pratique J’adore ces papiers ! Ils permettent de faire tout et n’importe quoi, des stickers, des étiquettes, la seule limite est votre imagination</t>
  </si>
  <si>
    <t>Très satisfait &lt;div id="video-block-R1UZMRT0G3RM2U"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id="15" preload="auto" src="https://images-eu.ssl-images-amazon.com/images/I/91S87hhqNnS.mp4" style="position: absolute; left: 0px; top: 0px; overflow: hidden; height: 1px; width: 1px;"&gt;&lt;/video&gt;&lt;/div&gt;&lt;div id="airy-slate-preload" style="background-color: rgb(0, 0, 0); background-image: url(&amp;quot;https://images-eu.ssl-images-amazon.com/images/I/81o-BceE5YS.png&amp;quot;);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value="https://images-eu.ssl-images-amazon.com/images/I/91S87hhqNnS.mp4" class="video-url"&gt;&lt;input type="hidden" name="" value="https://images-eu.ssl-images-amazon.com/images/I/81o-BceE5YS.png" class="video-slate-img-url"&gt;&amp;nbsp;Le masseur est très facile à utiliser.  Il est très confortable après le massage et favorise la circulation sanguine.  Le masseur peut également être chauffé et massé pour se détendre.  L'intensité peut être ajustée à tout moment.  Rentable.  Très satisfait.</t>
  </si>
  <si>
    <t>Comme prévu Le sac correspond parfaitement à la description, il est de taille normal, ni trop grand, ni trop petit. On peut y mettre une tablette, une liseuse sans problème. La qualité est au rendez-vous, et son look très sympa. Son destinataire a apprécié et ne le quitte plus !</t>
  </si>
  <si>
    <t>très beau réveil ma fille adolescente est ravie de son réveil. très design</t>
  </si>
  <si>
    <t>Très bonne qualité Je beaucoup aimé mon bébé il boit très bien</t>
  </si>
  <si>
    <t>cartouche d'encre Super cartouche compatible avec mon imprimante Canon reconnait la puce Rapport qualité prix excellente ...Je recommande</t>
  </si>
  <si>
    <t>Nikel tres bon produit. les diams sont élégants et ils tiennent bien sur la couronne. Les peignes fixent bien la tiare</t>
  </si>
  <si>
    <t>Top Le design est beau et facile à transporter.</t>
  </si>
  <si>
    <t>malheureusement pratique habituelle comme d'habitude, après insertion d'une nouvelle cartouche, l'imprimante part dans un cycle de "maintenance" long et qui vide les autres cartouches... résultat, je remplace ma cartouche d'encre jaune, et la couleur magenta, dont il restait un bon quart, est maintenant vide! le cyan, dont il restait un bon tiers, est maintenant juste en limite : tiens, tiens, quel malheureux hasard. je me demande si le même phénomène se produit chez les autres marques, celle-là vient en tout cas de perdre un client. Halte Pigeons.</t>
  </si>
  <si>
    <t>trop petit tout d 'abord j ai commander cette chaussure pour le boulot  tres jolies d ailleur j ai pris une pointure 45 pour etre sur que se soit assez grand manque de chance ..ilaurai fallu prendre du 46 dommage :(((((((</t>
  </si>
  <si>
    <t>Coffret abîmé Le coffret n'est pas conforme à la photo. Il est abîmé! Les produits ont l'air corrects, à voir dans le temps...</t>
  </si>
  <si>
    <t>Sans plus Bon rapport qualité / prix ... sans plus</t>
  </si>
  <si>
    <t>Dommage pour les quelques griffure dessus Très bonne petite sacoche, assez profonde pour mettre pas mal de choses. Seul bémol, elle est arrivée griffé un peu partout. Autrement elle est top</t>
  </si>
  <si>
    <t>bien Fermoir conforme et de bonne qualité. Produit qui respecte bien le descriptif de l'annonce. Bonne taille. Pas déçu par ce produit</t>
  </si>
  <si>
    <t>Bon filtre anti-pop pour petits micro Ce filtre anti-pop est plutôt efficace, même si un filtre anti-pop devrait plutôt être proche de la bouche plutôt que du micro. Attention toutefois, les élastiques sont assez serrés et ne conviendront pas à tous les microphones. J'utilise celui-ci avec le Bird UM1, il convient parfaitement, donc il faut avoir un micro équivalent.</t>
  </si>
  <si>
    <t>biberon miracle biberon miracle par contre j aimerai bien quevla marque fasse les tirets plus foncé car on a du mal a voir parfois maivsinon exellent</t>
  </si>
  <si>
    <t>Excellent rapport qualité / prix Machine élégante, de bonne qualité.. Pratique</t>
  </si>
  <si>
    <t>bon produit impecc</t>
  </si>
  <si>
    <t>Superbe Je les adore vraiment trop belles et en plus livraison hyper rapide donc génial</t>
  </si>
  <si>
    <t>Top Parfait, livré avec le matériel pour réduire ou agrandir le tour de poignet, super</t>
  </si>
  <si>
    <t>IDÉALE POUR LE SPORT Ces trois paires de chaussette sont idéales pour les sports sur tapis grâce à leur revêtement antidérapant. Mais aussi pour les sports comme le fitness et la musculation pour ma part.  Adaptée plus à une saison automnale ou hivernale, elles sont assez épaisses et permettent de laisser respirer les pieds.  Le prix est très abordable pour ce produit qualitatif.</t>
  </si>
  <si>
    <t>Ok Jogging</t>
  </si>
  <si>
    <t>. Très bon sous-vêtement, le tissu est très doux, il est très agréable à porter, il ne se déformera pas après quelques lavages.pafait!</t>
  </si>
  <si>
    <t>parfait Semelle moelleuse pour plante des pieds sensibles; talon de hauteur suffisante pour calmer les douleurs lombaires; matériau adéquat pour la demi-saison pluvieuse; allure sport sans excès de fantaisie; robuste, joli, doux au toucher...What else? mon seul regret : qu'on ne la fasse pas en bleu (plus adapté pour les jeans). J'en rachèterai sûrement (j'ai encore ma première paire, en blanc, qui date de quinze ans : fatiguée mais tout-à-fait portable). Je suis fan!</t>
  </si>
  <si>
    <t>papier dessin juste un peu trop lissse, je pensais qu'il serait un peu plus rugueux c'est pour faire des dessins à l'encre de chine, je ne peut pas crayonner au crayon de couleur, je vais essayer de faire au feutre, mais c'était pas prévu!!! délais de livraison ok, emballage parfait, prix juste</t>
  </si>
  <si>
    <t>Je le recommande Bon produit</t>
  </si>
  <si>
    <t>Beau compressif Rien à dire de négatif  sur ce compressif. Il est parfait. Évacue parfaitement la transpiration donc pas d'odeur. Léger et agréable. Il taille comme prévu.</t>
  </si>
  <si>
    <t>tres bien J'ai acheté une paire pour mon grand-père. Il l'aime bien c chaleureuse et confortable. Ce n'est pas cher. Je vais  acheter une autre paire pour ma grand-mere asussi.</t>
  </si>
  <si>
    <t>Parfait Très efficace, effacement très facile. Livraison rapide</t>
  </si>
  <si>
    <t>Parfait! Très bonne qualité Léger Bien fabriqué Son excellent Micro très performant</t>
  </si>
  <si>
    <t>Bonne télécommande Télécommande très légère et très simple à utiliser pour faire ses présentations PPT. Elle me fait l’affaire! Bon rapport qualité/ prix.</t>
  </si>
  <si>
    <t>Magnifiques Comme marcher pieds nus, on les oubli. Elle sont tres basse. Elle s'adaptent bien tant au pantalon qu'aux jupes.. Contente de mon achat</t>
  </si>
  <si>
    <t>Doute sur l'authenticité J'ai bien reçu l'article , je l'ai pris taille M  comme tous mes pulls habituellement sauf que la c'est tres juste , presque trop petit , de plus j'ai de vrais doutes sur l'authenticité ... L'étiquuete etais mal placée , la qualité du tissus me parait égrange bref , je ne recommande pas</t>
  </si>
  <si>
    <t>En panne suite à une nuit de fonctionnement... Dans la notice du produit: "Le système de sécurité a désactivé le chauffe-matelas de manière irréversible." Sympa pour nous!! Il faut renvoyer l'article au service après vente. Deuxieme post, premier refusé par amazon.</t>
  </si>
  <si>
    <t>joli mais  inconfortable parfait pour un pied par contre de grosses douleurs pour l'autre pied. Il y a un défaut de fabrication ce qui les rend inutilisables sans l'intervention d'un cordonnier Dommage car de nombreux compliments sur le look!</t>
  </si>
  <si>
    <t>Oui, Mais... Il a un son correcte il est tres tres léger donc ca cest bien mais forcement parce quil est entierement en plastiques donc moyen, je pense que pour le prix on peut sattendre a mieux niveau son et finition</t>
  </si>
  <si>
    <t>Article conforme Bracelet offert pour un anniversaire qui fait son effet avec beaucoup d'interrogation sur les aimants (même si l'efficacité reste à démontrer sur le bien être de celui qui le porte... personne n'est dupe!)</t>
  </si>
  <si>
    <t>Confortables, sympathiques et permet de gagner quelques centimètres. Je mets les chaussures tous les jours parce-que TRÈS confortables.</t>
  </si>
  <si>
    <t>Longévité trés bien Rien à dire Tip top.</t>
  </si>
  <si>
    <t>Sac vintage très bonne qualité et pratique avec ses nombreuses poches et la bandoulière bien adaptée de plus bon rapport qualité/prix. Un bon achat.</t>
  </si>
  <si>
    <t>Bien mais pas sûr que ce soit nike Pas sûr que ce soit un vrai nike mais bon produit</t>
  </si>
  <si>
    <t>pratique facile d'utilisation rapide à voir ensuite sur la durée je viens de l'acheter et ne m'en suis servie que 2 fois</t>
  </si>
  <si>
    <t>désinfectant toujours à porté de ma main Je m' en sers souvent pour les poignées ,boutons  zapettes claviers robinet etc la gastro est moins présente dans ma petite famille . J' aime son parfum et son efficacité</t>
  </si>
  <si>
    <t>Montre sobre et efficace ! Deuxième montre de la marque que j'achète étant très satisfait de la 1ere. Ce modèle noir est sobre et efficace : pas de chichi, la classe discrète. Elle est super plate et passe partout : le bracelet se règle facilement pour s'adapter à tous les poignets. A noter la livraison dans une pochette feutre du meilleur goût !  Encore satisfaite de la marque.</t>
  </si>
  <si>
    <t>Très bonne qualité La qualité est vraiment top. Le marche pied est solide, mon enfant est en sécurité quand il monte dessus. Je suis ravie de cet achat et lui aussi, il peut à présent se laver les mains seul et me regarder faire à manger sans difficulté.</t>
  </si>
  <si>
    <t>parfait répond parfaitement aux attentes, expédition rapide</t>
  </si>
  <si>
    <t>Tres bon casque ss fil Cadeau pour mon conjoint il en est tres conent Acheter principalement pour les avant match il est pas encombrer et peut se concentrer tout en fesant ses échauffement avec le telephone dans la poche Super son bonne autonomie Je penseen acheter un 2eme pour moi</t>
  </si>
  <si>
    <t>Au top ! Super rapport qualité prix. Anime les soirées karaoké entre copains C est tout ce qu'on lui demande !</t>
  </si>
  <si>
    <t>Enfin du jour en hiver ! Cela fait 15 jours que j'utilise cette lampe. Le design est pas mal. L'intensité de la lumière est parfaite, je l'utilise plutôt le matin à une distance d'environ 20 cm et pas plus de 30 minutes, ça réveil bien et ça met en forme pour la journée. Ayant des soucis de maux de tête en ce moment, j'ai remarqué qu'au bout d'à peine 10 minutes d'utilisation, ils partent sans prendre de cachet. Du coup, je l'utilise parfois en fin de journée un petit quart d'heure. La lampe est facile à transporter même si elle est un peu imposante. Je ne sais pas si ça joue sur la déprime car je ne l'ai pas acheté pour ça, mais pour avoir de la lumière du jour en cette période hivernale. Elle remplie parfaitement cette fonction !</t>
  </si>
  <si>
    <t>sacoche bandoulière Eastpak Produit reçu dans les temps. Extrêmement satisfaite de la sacoche, belle, pratique, bonne taille, très bonne qualité. Bonnes Fermetures . Je recommande absolument.</t>
  </si>
  <si>
    <t>Parfait Kit parfait pour la maternité ! Ne prend pas de place et  est complet!  L’essentiel est là pour le séjour !</t>
  </si>
  <si>
    <t>Un classique Aucune mauvaise surprise pour moi . Belle chaussure d'été.</t>
  </si>
  <si>
    <t>Bon produit Les écouteurs sont super légèrs, agréables à porter et tiennent bien en place Ils se connectent rapidement en Bluetooth et dès qu'on les sort de la boîte La batterie tient longtemps c'est top</t>
  </si>
  <si>
    <t>Articles de bonne qualité et service au top ! Articles de bonne qualité et service au top !</t>
  </si>
  <si>
    <t>Stylé Bon look, finition soigné je recommanderai sûrement. A voir dans le temps comment elles tiennent. Livraison rapide. Je suis ravi</t>
  </si>
  <si>
    <t>Pour les jambes lourdes je ne recommande pas Performances faibles: bulles médiocres. Et surtout impossible de déconnecter le chauffage !!! Affreux</t>
  </si>
  <si>
    <t>Mini table de mixage inutile J'ai fait l'acquisition de cette table de mixage DJCONTROL COMPACT qui est totalement inutile il n'y a pas de préécoute sur la console, ni sur le logiciel. Passer votre chemin je vous déconseille ce produit. J'ai renvoyé mon produit pour une platine hercules instinct P8.</t>
  </si>
  <si>
    <t>Produit conforme mais... Produit conforme et qualité correcte mais attention ! Ne fonctionne qu'avec une alimentation spécifique (il faut rajouter 22€ à la note)</t>
  </si>
  <si>
    <t>Bien mais un peu trop petit Le produit est de bonne qualitée et semble solide, cependant la taille n'es vraiment pas optimale pour une bonne isolation acouqtique</t>
  </si>
  <si>
    <t>Top J’adore super son et effet</t>
  </si>
  <si>
    <t>Bon rapport qualité prix après plus d'un mois d'utilisation, je peux dire que je suis satisfait du produit. Même si au premier abord lorsqu'on ouvre la boite, le diffuseur est en plastique, donnant un aspect "bon marché", à l'utilisation avec le jeu des couleurs le produit trouve sa place dans le salon. La capacité de 500ml est très grande voire trop grande pour notre salon. Le produit fonctionne bien.</t>
  </si>
  <si>
    <t>Bonne qualité Jolie</t>
  </si>
  <si>
    <t>Très sympas Baskets très sympas à porter avec une tenue décontractée ou habillée pour décalé. Je suis ravie. Très bon confort.</t>
  </si>
  <si>
    <t>Pochettes Pochettes plastifiées d'excellente qualité, je recommande, tous mes documents sont bien à l'abri, elles sont assez épaisses et tiennent bien</t>
  </si>
  <si>
    <t>Produit de réelle qualité Super bottes, moins cher qu'en magasin je recommande vraiment, elles sont chaudes et agréables mais surtout très solides. Idéales pour travailler à la ferme</t>
  </si>
  <si>
    <t>Lecture Les premières lectures</t>
  </si>
  <si>
    <t>Bonne préparation du lit... Placé  dans le lit 1h avant de se coucher, quel bonheur de se faufiler dans des draps tièdes.</t>
  </si>
  <si>
    <t>H-Mastery Basket Je les adore Tres Confortables</t>
  </si>
  <si>
    <t>Le toppp Je suis hyper satisfaite de cette montre. Tient super bien l charge (je suis à 5 jours sans charger la montre et j’ai encore 42% de batterie) connection facilr. Suivi cardiaque et sommeil nickel. J’adore</t>
  </si>
  <si>
    <t>Impeccable ! Le produit correspond parfaitement à la description.  J'utilise principalement la montre pour le sport avec sa fonction "chronomètre". A l'ouverture, visuellement, la montre fait petite mais avec le temps on s'y habitue vite.  Idéal pour les petits poignets.  Petit bémol pour le rétroéclairage que je trouve un peu faible.</t>
  </si>
  <si>
    <t>super idéal pour partager un moment de plaisir et de bonheur avec bébé</t>
  </si>
  <si>
    <t>Très utile !!! Aucuns soucis avec cet appareil, chauffe vite via la prise, et à peu prêt 5 min via l'allume cigare... Il nous est très utile surtout qu'on sort souvent.</t>
  </si>
  <si>
    <t>Papier plastifier Ce papier est vraiment bien pour plastifier de grands documents ou éventuellement 2 feuilles A4. Je le recommande à tous.</t>
  </si>
  <si>
    <t>Parfait Vraiment très bien pour des enfants. Mes filles de 4 et 7 ans les adorent!</t>
  </si>
  <si>
    <t>confortable sport</t>
  </si>
  <si>
    <t>Très jolie Micro est très efficace Le son de ce micro est très agréable. il est vite chargé et simple d'utilisation  ma fille adore</t>
  </si>
  <si>
    <t>Fonctionne bien Premier achat pour offrir. Second achat également. Ma troisième commande, c'est pour moi. Mes amis sont très satisfaits de leurs écouteurs et j'ai pu confirmer la qualité. Très bon rapport qualité prix. Bon son. Tiennent bien durant ma séance de sport. Je suis ravie.</t>
  </si>
  <si>
    <t>Très satisfaite de cette huile Parfait pour accompagner une grossesse, por le moment cela fonctionne. Odeur et texture agréable. Je vais continuer après l'accouchement prévu en janvier.</t>
  </si>
  <si>
    <t>Bouilloire en panne après à peine 1 mois d'utilisation Je suis déçue pour une bouilloire à ce prix! La bouilloire ne fonctionne plus du tout, utilisation quotidienne pourtant normale.</t>
  </si>
  <si>
    <t>Juste joli rien de plus On peut juste dire qu'il est tres joli mais alors niveau qualité pas bien du tout.J'ai pu le porter qu'une fois car il a noirci quelques heures après l'avoir porté.Mais bon vu le prix,on perd pas grand chose</t>
  </si>
  <si>
    <t>PAS FIABLE Bonjour. Les sacs se cassent, s arrachent en dessous des fermetures. Articles inutiles. Mauvaise qualité. C est très désagréable un sac poubelle qui se casse. Demande remboursement. cordialement</t>
  </si>
  <si>
    <t>Belle bouilloire mais qualité médiocre Jolie bouilloire mais déçue de la qualité. En effet vous ne pouvez pas toucher l'inox quand l'eau est chaude au risque de vous brûler (attention aux enfants), et de la rouille apparaît au niveau de la jonction du couvercle et du contenant après seulement 3 mois d'utilisation...</t>
  </si>
  <si>
    <t>C'est une montre homme (pas femme) Montre homme aux fonctions intéressantes (notamment les alarmes).  Mais : pas de notice en français ni d'indications pour enlever des maillons au bracelet.</t>
  </si>
  <si>
    <t>Sweat pour automne-hiver Sweat que j’utilise à la maison pour traîner. A utiliser en automne-hiver, car il donne assez chaud. Passe au sèche-linge, même si sur l’étiquette cela n’est pas recommandé. D’où Repassage superflu. .</t>
  </si>
  <si>
    <t>Bien! Bien reçu à temps.Vendeur agréable. Merci pour le petit mot. J'ai l'impression que avec le temps le papier change et devient plus fin, moins parfumé et brûle plus vite.</t>
  </si>
  <si>
    <t>imprimante bon article</t>
  </si>
  <si>
    <t>Joue son rôle. Il peut être assez compliqué de juger de manière claire de l'efficacité d'un tel produit dans une salle de bains, pièce humide lors des toilettes, et sensée être suffisamment aérée. Néanmoins, j'ai constaté une atténuation de la sensation d'humidité dans les minutes qui suivent la valse des douches. Le produit se présente sous la forme d'un bac bleu sur lequel on fixe un gros palet blanc et que l'on recouvre d'une sorte de toit laissant passer l'humidité. L'eau récoltée dans l'air ambiant finit dans le bac bleu qu'il faut vider lorsqu'il est plein. Un petit bouchon permet de vider facilement l'eau. Facile à installer, donc, et à utiliser. Il suffit de le poser quelquepart. Dans un coin de la salle de bain pour ma part. Il semble donc faire son boulot, après une utilisation sur une pleine semaine.</t>
  </si>
  <si>
    <t>Conforme à la description,et paraît robuste (voir avec le temps ) Pour le thé ,et sa petite taille</t>
  </si>
  <si>
    <t>Ras tout est parfait Montage rapide, qualité sonore agréable A ce prix mieux vaut tout changer plutôt que de partir en quête d un saphir vintage rare ... Audiophiles montez en gamme</t>
  </si>
  <si>
    <t>Bon produit de bonne taille Tres bien bonne taille bonne qualité et très belle apparence bon produit</t>
  </si>
  <si>
    <t>Très belle bouillotte Très belle bouillotte, quand elle est allumée, elle a un très bel écran de lumière bleue, ainsi que la température de l'affichage numérique, la vitesse de l'eau chaude est très rapide, vraiment parfaite. Ma mère m'a aussi laissé l'aider à en acheter un autre!</t>
  </si>
  <si>
    <t>Très bonne tenue dans les oreilles Enfin des écouteurs qui tiennent dans mes oreilles lors de mes sessions de courses à pied! Ils sont légers délivrent un son de qualité. Pour l’autonomie je n’ai pas encore assez de recul pour en parler mais c’est suffisant pour moi</t>
  </si>
  <si>
    <t>Nikel Super produit,  comme dans mes souvenirs</t>
  </si>
  <si>
    <t>Parfait La matière est superbe la taille parfaite. Je l'adore. Je vais en recommander</t>
  </si>
  <si>
    <t>Très élégant Produit conforme à la description, le bracelet est livré dans une jolie boîte et un sachet idéal pour un cadeau. Le système de fermeture est malin. Élégant discret jolie. A acheter et à offrir</t>
  </si>
  <si>
    <t>ultra confort a peine livrées ,aussitôt mises.je les ai portées plusieurs jour en suivant ,et leur confort est sans égal. Je les recommande pour leur confort et leur efficacité , vous pouvez affronter  l'eau ,la boue , la vase et autres sans problèmes .Je n'ai pas été fatigué et pas de désagréments de les avoir porté toute la journée .</t>
  </si>
  <si>
    <t>Très bon produit Après 4 mois d'utilisation régulière, je recommande ce produit. Le long est la mise à jour du logiciel et de trouver les bons embouts lors de la première utilisation. Les écouteurs sont confortables et le son de bonne qualité, y compris lors des appels dans des lieux bruyants.  Un most-have</t>
  </si>
  <si>
    <t>Excellent !!! Super produit très bien présenté dans son petit sac franchement je conseille à tous et je ne regrette pas mon achat</t>
  </si>
  <si>
    <t>Utile Au début je doutais que sa aller être d’une autre façon que je l’aurais imaginer mais ce n’est pas du mytho il est conforme à la description mais aussi moins chers que certains vendeur Youpi</t>
  </si>
  <si>
    <t>Très bien Très bien comme d'habitude avec cette marque Cependant le silicone se trouble un peu avec le temps mais sinon la tétine ne se craque pas c'est de la bonne qualité</t>
  </si>
  <si>
    <t>Excellent rapport qualité prix Je recommande fortement cette paire d'écouteurs BLUETHOOTH.  J'ai été agréablement surpris par la qualité des matériaux et du son.  Petit détail facile à connecté et rapide , le niveau de charge est indiqué des la connections avec le smartphone.  Excellente autonomie,pour ce qui est de la qualité du son les basses sont bonnes et les aigus aussi. Le boitier est aussi une base de recharge et permet d'augmenter l'autonomie.  Je recommande ces écouteurs qui peuvent sans problème concurrencer les marques les plus connues.</t>
  </si>
  <si>
    <t>Veste chaude Utilisation pendant l'hiver.</t>
  </si>
  <si>
    <t>Pas tout à fait conforme Ils font ce qu'on leur demande en revanche la fonction "cliquer 3 fois pour la précédente chanson" ne fonctionne pas du tout.</t>
  </si>
  <si>
    <t>INUTILISABLE ! Papier ultra fin et râpeux. Je ne crois pas une seule seconde aux commentaires 4 et 5 étoiles, ce n'est pas possible. C'est inutilisable...</t>
  </si>
  <si>
    <t>À éviter Le bracelet s’est cassé moins de 24h après ouverture Le fil reliant les éléments est trop fin</t>
  </si>
  <si>
    <t>DUREE DE VIE : 1 AN ! Après avoir porté ces Caterpillars quasiment tous les jours (en journée) en alternant avec une paire différente de chaussures (en soirée), la semelle arrière du talon s'est décollée. Le rapport DUREE DE VIE / PRIX est donc à prendre en considération au moment de l'achat.</t>
  </si>
  <si>
    <t>TBS Archer blanc Tennis confortables à l'habitude mais ce modèle blanc à scratch est trop grand et large en comparaison au modèle noir à lacets de même pointure (45)donc tenant mal le pied! Obligé de mettre une bonne semelle.</t>
  </si>
  <si>
    <t>toute jolie dans ma cuisine elle fait le job</t>
  </si>
  <si>
    <t>pratique fait du bon travail</t>
  </si>
  <si>
    <t>Bon achat Très utile,  résistant</t>
  </si>
  <si>
    <t>Plutôt pas mal C’est bien d’avoir un trou d’évacuation d’air cette tétine, par contre c’est rapide pour un nouveau né quand même.</t>
  </si>
  <si>
    <t>Pas mal du tout. Excellent rapport qualité-prix pour ce produit qui fait son job de manière plus qu'honorable. Dimensions contenues, c'est un plus appréciable pour les petits espaces.</t>
  </si>
  <si>
    <t>Un indispensable L'odeur est un peu faible et il est un peu difficile de faire tomber les gouttes (ou c'est juste moi qui m'y prends mal) mais mon dieu, quelle odeur! Je voulais de l'huile essentielle de citron depuis tellement longtemps et il remplit parfaitement son job donc foncez!</t>
  </si>
  <si>
    <t>Très pratique Excellent ecouteur. Pour le prix il ont un super son un design très cool sans être inconfortable ou flashy aussi les boutons sont agréables et facile d'accès et le micro marche vraiment bien. Le rapport qualité/prix inegalé me fais e recommander apres en avoir essayé plusieurs.</t>
  </si>
  <si>
    <t>Très bien fait Diplômée en Lettres classiques, j’ai choisi cet ouvrage pour initier mes enfants à la mythologie. On lit environ 3 épisodes chaque soir. Ils le réclament! La narration des mythes est adaptée aux enfants, il y a toujours du suspens à la fin de l’episode, et un petit résumé débute le suivant. Nous l’avons presque terminé, j’ai acheté les deux autres tomes pour poursuivre. Un sans faute!</t>
  </si>
  <si>
    <t>Joli Très joli collier fin et discret ! Il se mari parfaitement avec une robe de soirée ! Je suis content de cet achat</t>
  </si>
  <si>
    <t>Top pyjama Je viens de l'essayé, il est top, extra fuide, grand, effet cocooning garantie je vais le mettre souvent, j'ai juste le cordon de la ceinture qui est rester dans mes mains, mais bon c'est pas bien grave. Je recommande .</t>
  </si>
  <si>
    <t>Bon produit Produit véritable, rien à redire</t>
  </si>
  <si>
    <t>Très bien Satisfaite</t>
  </si>
  <si>
    <t>tres bon produit bonne batterie, bon son , les enfants et les adultes s'éclatent</t>
  </si>
  <si>
    <t>Top Super produit je recommande au top.</t>
  </si>
  <si>
    <t>Très bel objet Très bel appareil qui fait peu de bruit. Il n'est pas très grand du coup peu de contenance mais idéal pour les endroits exiguës. Il décoré vraiment bien la pièce en plus d'occuper son rôle principale de diffuseur d'huiles essentielles</t>
  </si>
  <si>
    <t>Bon rapport qualité prix Arrivé vite comme toujours très contente du pack même si je ne change pas les deux ensemble je rachète entre temps de l’encre noire</t>
  </si>
  <si>
    <t>correspond à l'attente Livraison rapide, le produit parait fragile mais plus efficace que l'aiguille livrée avec le tourne disque. Ma fille a pu enfin écouter ses albums modernes</t>
  </si>
  <si>
    <t>Bonne qualité... très satisfait... Running. .. bonnes tenues de running. .. bonne qualité et semblent durables... recommanderai en taille inférieure pour les cuissards afin de gagner en compressif (M ou L...), le haut bien compressif en M... mais cela va car tissus vraiment élastique... mais prochaine fois du L...</t>
  </si>
  <si>
    <t>bon produit Super son très bonne qualité je suis très satisfait de ce casque et je le recommande</t>
  </si>
  <si>
    <t>Le goupillon pour le biberon se déforme en moins deux 15 jours. Le goupillon pour le biberon se déforme en moins deux 15 jours, ce qui ne permet plus de nettoyer les biberons correctement. Le petit goupillon pour les tétine en revanche est très bien !</t>
  </si>
  <si>
    <t>Défaut Produit arrivé très rapidement ras, mais la cartouche se met en défaut, elle est inutilisable, et je suis bloqué, et je dois racheter une cartouche... double dépense! Très mécontente</t>
  </si>
  <si>
    <t>Déçu Reçu le lendemain il se sont craquer au niveau des œillets</t>
  </si>
  <si>
    <t>Pas un parangon de confort Notez que je viens d'un vieux Sennheiser filaire plutôt orienté conférence / boulot, particulièrement léger et à l'excellent micro, ce qui teinte forcément mon expérience. Mais bon, je voulais du gamer sans fil, et niveau rapport qualité / prix celui-ci semblait être fréquemment recommandé.  Les + : - Qualité sonore satisfaisante - Solide et robuste ! - Excellente autonomie (de mon expérience, séance de 2h en stéréo -&amp;gt; ~10% de batterie) - Le logiciel est bien, en particulier son petit système de dashboard bien foutu qui pourrait devenir résident permanent de mon bureau. - Il bouge pas d'un poil sur la tête. Vous pouvez faire la roue dans votre salon sans crainte (j'y reviens plus bas).  Les bof : - Micro vraiment pas terrible (en venant du Sennheiser, mes camarades de jeu sous Discord se sont demandés pourquoi j'étais soudain passé "dans une cave"... au moins ça a le mérite d'être clair :'( ). - Surround 7.1 qui dénature le son (après, pour être franc je n'ai pas testé dans des conditions qui auraient pu tirer parti de la spatialisation, donc je n'en ai vu que l'aspect négatif). - L'isolation : le casque n'isole pas complètement du bruit extérieur (pas gênant pour moi, au contraire), mais étouffe quand même pas mal... J'ai l'impression que ce positionnement "médian" ne satisfait personne au final. Ceux qui privilégie l'immersion au max seront déçus, au contraire ceux qui comme moi préfèrent rester "disponibles" aux sollicitations extérieures se sentiront déconnectés.  Les arghs : - Bon sang que c'est lourd ! - L'arceau aurait pu être un peu plus rembourré. Là, s'il est positionné au milieu de ma tête il finit par me faire mal (parce que le casque est lourd, l'ai-je déjà dit ?). - Il "pince" fort la tête ! Alors oui ok, du coup il bouge pas d'un poil lors d'une séance, mais j'en avais presque mal aux maxillaires les premières fois. - Ça chauffe ! Pas que les oreillettes soient désagréable mais encore une fois, pourquoi diable est-ce que ça serre aussi fort ?? Est-ce que les gamers sont censés faire du pogo devant leur écran ? D'autant que du coup, si comme moi vous avez l'habitude de décaler une oreillette pour écouter ponctuellement quelqu'un qui vous parle, vous vous retrouvez avec des pressions excessives sur le crane et ça n'est pas confortable du tout...  Bref, je suis conscient que beaucoup de ces réactions sont imputables au fait que je viens d'un filaire particulièrement léger... Effectivement, au bout de quelques jours, je m'habitue déjà au poids et le confort du sans fil est indéniable.  Je sais également que certains problèmes sont systématiques sur les casques sans fil (le micro moyen, par exemple).  Conscient de ma représentativité limitée, je ne sanctionnerai donc pas trop le produit à ce stade, mais je dois bien admettre que je suis un peu déçu... Je revisiterai peut-être cet avis avec le temps :)</t>
  </si>
  <si>
    <t>Bon Un peu bruyant à mon goût</t>
  </si>
  <si>
    <t>Pas mal du tout Pack de biberon très bien pour commencer à la sortie de la maternité, même s'il est bon de préciser qu'il faudra investir un peu pour dire d'avoir assez de stock de biberon pour les premiers mois.  J'ai adoré ces produits, je suis pourtant habituée à la marque Mam, très bonne elle aussi, mais les formats de biberons anti-collique m'embêtaient lors du nettoyage, à cause de leur valve en silicone, qu'il fallait démonter entièrement à chaque fois.  Ici, les biberons sont légers légers, bien costauds, les inscriptions tiennent bien le coup, même après plusieurs lavages au lave vaisselle.  Tétines bien solides, mais tout de même bien souples, adaptées aux petites bouches.</t>
  </si>
  <si>
    <t>Superbe mais.. Collier magnifique qui a beaucoup plu Attention a la réduction de prix qui n'est pas réel Le produit reste du made in china en toc</t>
  </si>
  <si>
    <t>Très bon casque Très bon casque me fait mal aux oreilles quand on est un peu trop longtemps avec pour ma part</t>
  </si>
  <si>
    <t>Parfait Très beau design, et confortable. J ai préféré changé les semelles pour mettre des semelles cuir car mon fils transpire trop des pieds et c est nickel</t>
  </si>
  <si>
    <t>Livre Très bonne série de livres facile à lire.</t>
  </si>
  <si>
    <t>Très satisfaite Le coffret est très joli. Les bijoux sont bien finit, je craignais qu'ils fassent jouets, mais non, ils sont vraiment bien.</t>
  </si>
  <si>
    <t>J'adore ce pendentif Ce bijou est très agréable à porter, de bonne taille, il permet d'avoir un beau pendentif au cou, très classe. Une petite touche de lumière. Très contente</t>
  </si>
  <si>
    <t>Top ! Grande adepte des produits MAM je recommande vivement !</t>
  </si>
  <si>
    <t>Bon état Bon état</t>
  </si>
  <si>
    <t>Sac a dos Se sac peut être utilisé à beau de choses, moi je l'utilise pour mon sport mais aussi pour aller o travailler. Je peux ranger mon ordinateur portable, mon casque tous mes chargeurs, quelques livres, chaussures .. . Se porte bien Facile.</t>
  </si>
  <si>
    <t>son format Si je commande cet article c'est que cela me convient, sinon je ne le prendrais pas. Cela me convient pour noter se que je fais chaque jour; à mon age(85 passés) j'ai tendance à oublier.</t>
  </si>
  <si>
    <t>Montre casio Super belle montre c’est ma 2ème j’en ai commandé une blanche et une noire j’ai mélangé les deux et j’ai 2 montres unique.la 1ère est noir au centre et blanche la couronne et la 2ème inversée 👍.</t>
  </si>
  <si>
    <t>Impec Meilleures bottes que j'ai jamais eues. Très confortables, souples et résistantes. Prévoyez un spray imperméabilisant, elles en valent le coup !</t>
  </si>
  <si>
    <t>Nickel Livraison faite 1 jour avant 👌. Produit (chaussures pour mon fils), parfaites.</t>
  </si>
  <si>
    <t>Parfait Acheter sans hésiter ce sont deux tétines très simple qui remplissent leur fonction je ne peux rien dire de plus ça adapte très bien au biberon Mam et d’autres marques standard</t>
  </si>
  <si>
    <t>A recommander ?  un peu fragile, c’est du jetable Joli produit mais après un peu plus de cinq mois d’utilisati9n le fond s’oxyde et verdit. Je ne sais pas si je vais l’utiliser encore longtemps, de n’est pas appétissant et c’est peut-être toxique.... dommage</t>
  </si>
  <si>
    <t>Très bon casque je le recommande Super casque fonctionnalités nickel (bluetooth) très bien comme prévu connaissant déjà l'article avant achat je savais à quoi m'attendre déjà.Bonne autonomie,bonne sonorités surtout les basses et l'intéraction de la musique et des différent sons d'une oreille à une autre ou fait toujours son petit effet selon les musiques.Couleur rose pâle mignonne et discrète, J'aime.Pour l'instant à tenue toute ce promesse j'espère le garder très longtemps.</t>
  </si>
  <si>
    <t>Mauvaise qualité Dans les photos la qualité semblait meilleure</t>
  </si>
  <si>
    <t>Plus que bof... Très déçu par le qualité. C est la même matière que pour des articles de déguisement ou pour habiller des poupée. Et pas chaud du tout. Direction fond du placard...</t>
  </si>
  <si>
    <t>Conforme à la photo Montre élégante avec une belle esthétique, même si elle est bien plus épaisse qu'elle en a l'air. Je pense que pour ce prix il ne faut pas se plaindre, elle fonctionne parfaitement.</t>
  </si>
  <si>
    <t>satisfait très bon article j'aime bien je recommande a tous qui veulent acheté c'est bien vivement recommandé n'hésité pas c'est la qualité</t>
  </si>
  <si>
    <t>deçu bonjour j'ait reçu ma commande se matin le carton été  éventrée  ainsi q'un taquet  de lessive et le sac plastique de protection un  quart de la lessive  d'un des paquet et partie pendant la livraison je ne suit pas très content j'éspere que  la prochiene commande cela sera beaucoup emballer</t>
  </si>
  <si>
    <t>Pas mal mais ...... Correct mais attention taille trop grand ! Donc 2 tailles en moins pour se trouver très bien !</t>
  </si>
  <si>
    <t>Je le recommande Top mais je le trouve un peu petit pour une grande famille</t>
  </si>
  <si>
    <t>commande bien recu en avance très bonne qualités et souplesse garantie</t>
  </si>
  <si>
    <t>Instructif Cadeau anniversaire</t>
  </si>
  <si>
    <t>Agréable Bonjour la communauté, Je viens d'acheter ses écouteurs sans fil pour la pratique du sport, plus particulièrement de la musculation. Les écouteurs sont adaptés à la pratique et tiennent bien aux oreilles. Le son est agréable, cependant je ne peux pas vous dire la capacité de la batterie par un manque de temps d'utilisation. Ils sont vendus avec une housse de protection très tuile. Je recommande !</t>
  </si>
  <si>
    <t>parfait un très bon soutient et bien adapter pour ma taille - je prends du 105 A sans armature quand je trouve - ne sert pas au buste et pour le sport , c'est parfait</t>
  </si>
  <si>
    <t>Très bon rapport qualité prix Magnifique, confortable, ms très chaud,  très bien pour l'hiver.</t>
  </si>
  <si>
    <t>Jolie modèle et de bonne qualité. Je l'ai offerte à ma fille pour Noël depuis elle ne la quitte plus et le doré est bien resté.</t>
  </si>
  <si>
    <t>RAS Achetée pour un micro ZOOM H1... s'adapte bien et fait ce  pour quoi elle est prévu</t>
  </si>
  <si>
    <t>Très petit et pourtant si performant! Dictaphone extrêmement simple d'utilisation (je n'ai même pas eu recours au mode d'emploi). Enregistre vraiment bien et restitue fidèlement les voix et sons. Transfert des fichiers facile. Je ne peux que le recommander!</t>
  </si>
  <si>
    <t>parfait Tout à fait le type d'album que je recherchais. La couverture est très épaisse et les motifs étoiles sont un peu en sur-épaisseur, ils sont très sympas. Les pochettes pour ranger les photos 10/15 sont à la bonne tailles et j'apprécie tout particulièrement la partie annotation possible à côté de chaque pochette en plastique.</t>
  </si>
  <si>
    <t>Bien Article parfait, je recommande sans hésitation.</t>
  </si>
  <si>
    <t>parfait Envoie rapide Les oreillettes Bluetooth fonctionne correctement se connecte sans problème ma mon iPhone mon MacBook et mon téléphone professionnel Samsung Je recommande</t>
  </si>
  <si>
    <t>Très efficace ! Je suis très heureux de ce micro, simple et efficace. Le son est excellent et même par fort vent, avec la bonette, la qualité reste identique. Je l'utilise depuis 3 semaines, reste maintenant à voir sa durabilité.</t>
  </si>
  <si>
    <t>jolie parure Magnifique parure, l'ensemble est très joli. Obtenue pendant les soldes, je suis très satisfaite. Je la mets souvent avec une robe.</t>
  </si>
  <si>
    <t>Bon produit Produit conforme à notre attente</t>
  </si>
  <si>
    <t>ok ras</t>
  </si>
  <si>
    <t>Chaussures idéales. Achetées comme chaussures pour travailler sur chantier. Idéales pour l'extérieur. Très confortables, étanches, légères. Parfaites! A recommander à tout ouvrier.</t>
  </si>
  <si>
    <t>Pas la bonne tétine reçue Les informations écrites sur la présentation mentionnaient un débit moyen et j'ai reçu une tétine 1.... je dois donc racheter d'autres tétines</t>
  </si>
  <si>
    <t>télécommande diffuseur huiles essentielles Bonjour, mon appareil a très bien fonctionné, jusqu'à ce que j'aie voulu changer la pile. Impossible d'ouvrir le compartiment à pile et maintenant tout est coincé. Je suis mécontente de ce produit. Finalement, au lieu de mettre une télécommande, un bouton on/off serait bien plus utile.</t>
  </si>
  <si>
    <t>Affichage défectueux après un peu plus d'un an Comme d'autres personnes l'ont signalés, la moitié des caractères n'est plus visible, ceci au bout de 14 mois... La montre étant garantie 24mois, plus qu'à essayer de faire jouer la garantie...</t>
  </si>
  <si>
    <t>moyen ruban adhésif qui se déchire en travers dés qu'on le regarde un peu méchamment, faut avoir de la patience. Sinon ça colle et ça tiens y compris aprés plusieurs mois au froid sec(de haute montagne).</t>
  </si>
  <si>
    <t>Gw 2pcs espaceur  charms chaîne Bonjour, je ne suis pas déçu du cadeaux que j'ai offert à mon enfant.</t>
  </si>
  <si>
    <t>cool ok</t>
  </si>
  <si>
    <t>Pochettes de bonne qualité C'est déjà la troisième fois que je commande cet article et les pochettes me conviennent toujours autant. Elles sont utilisées avec une petite plastifieuse achetée à bas prix et elles ne bougent pas. J'apprécie leur tenue. Elles ne se décollent pas, et ne forment pas de plis. Un très bon rapport qualité-prix.</t>
  </si>
  <si>
    <t>biberon tres satisfaite du produit mais tres decu du livreur qui m a jeté mon colis dans le jardin car absente au moment de la livraison ; Franchement ,n importe qui aurai pu passer au dessus du portail et voler le colis . Merci</t>
  </si>
  <si>
    <t>Satisfait Petit, léger, mais j'ai eu plus rapide par le passé. Remplit bien son office, modeste mais appréciable pour qui veut son thé au réveil à l'hotel</t>
  </si>
  <si>
    <t>Pull imprimé animaux Pull taillé comme il faut, voire un peu grand. Attention, lavage à la main, ce qui peut être contraignant. Pour ma part,  il est parfait pour l'utilisation que je compte en faire.</t>
  </si>
  <si>
    <t>Pratique et confortable Utilisé pour la marche nordique. C'est un plaisir de faire du sport en écoutant de la musique sans fil ! La mise en place est facile. La qualité de son est bonne. Les commandes sont accessibles a l'écouteur coté droit. Ce casque est plus confortable que les intra auriculaires et il me semble que c'est meilleur pour garder ses capacité auditives. Je recommande.</t>
  </si>
  <si>
    <t>Bien surpris Puma confortable bien adapté à ma pointure et robuste je recommande</t>
  </si>
  <si>
    <t>Adapté Mon fils faisant du basket désirait cet accessoire, Il parait que cette marque est connue pour sa qualité , on verra bien. La taille en M est parfaite pour un ados de 14 ans ; au dessus c est trop grand je pense</t>
  </si>
  <si>
    <t>Arménie paper au top ! Parfum naturel, parfume parfaitement, odeur qui reste. Rapport qualité prix agréable. Je conseille vivement surtout contre la fumée de cigarette ...</t>
  </si>
  <si>
    <t>Super Très bon micro! Comme dans la description! Bons points: - Compatible tout types de téléphones - Petit. - Rapport qualité prix très bien. - Son clair. Bémols: - Son meilleur à distance (20cm) - Fragilité - Câble un peu court si on souhaite le mettre sous le t-shirt. J'ai quand même mis 5 étoiles car le micro est très bon dans l'ensemble et pour ce prix *_*</t>
  </si>
  <si>
    <t>le confort mon  fils et  mon mari adore elles sont confortable et bien chaude je recommande a d autre personne qui travaille dehors</t>
  </si>
  <si>
    <t>Très bon rapport qualité prix Un massage vraiment très agréable, le coussin détend vraiment bien les muscles. Il est plus tiède que chaud mais c’est amplement suffisant. Je recommande sans hésiter vu le prix !</t>
  </si>
  <si>
    <t>Super détente pour ceux qui ont des métiers debout !!! Appareil de très bonne qualité et de bonne conception très agréable après une bonne journée de travail ma femme n’ Pas voulu attendre la fête des mère pour l’utiliser bon on as rien dit aux enfants !!!</t>
  </si>
  <si>
    <t>son tres bon le son est excellent , c'est le micro des stars, trop bien et facile à utiliser j'adore, à conseiller; voila</t>
  </si>
  <si>
    <t>taille petit dommage elles sont sympas</t>
  </si>
  <si>
    <t>service rapide ça fonctionne très bien pour la petite imprimante canon  pour les petite photos qu'on a besoin tout de suite merci</t>
  </si>
  <si>
    <t>Chaud Très chaud</t>
  </si>
  <si>
    <t>TRES BIEN EQUITATION. RAS</t>
  </si>
  <si>
    <t>Baskets au top Livraison rapide avant la date,au moins 15jrs avant et puis qualité au top</t>
  </si>
  <si>
    <t>Très bien Pied de microphone utilisé dans plusieurs soirées ! Parfait ! ATTENTION : VÉRIFIER LE DIAMETRE DE VOTRE MICRO (car il n'y a qu'un seul embout), il faudra prévoir d'acheter un autre embout suivant le diamètre de votre micro (dispo à 3€) VÉRIFIER SON POIDS, si cela est un micro banale en plastique aucun problème, mais j'avais un gros sony en fer... et le pied à tendance a pencher ! Concl : PIED DE QUALITÉ</t>
  </si>
  <si>
    <t>S'abime très vite Je suis assez déçue de cet article, il s'abime très vite. Au bout d'à peine 1 semaine, le bout des poils se sont tout écrasés... par contre, très adaptés à mes biberons !</t>
  </si>
  <si>
    <t>Non officiel Produit de très mauvaise qualité, non conforme aux photos, son très mauvais. Acheteur si vous cherchez des écouteurs officiels passez votre chemin</t>
  </si>
  <si>
    <t>Achetee en janvier 2017, echangee en mars 2017 puis inutilisable en octobre 2018 ! J'ai achete cette bouilloire en janvier 2017, ai du me la faire echanger trois mois plus tard car le couvercle ne fermait plus. En octobre 2018 elle ne fonctionne plus du tout je ne sais pas a quoi c'est du... Pour le prix ca n'est pas tres resistant !</t>
  </si>
  <si>
    <t>Pratique mais pas solide Cette tétine est pratique car l'on peut sélectionner le débit souhaité en fonction de l'épaisseur du lait. Mon fils ayant des régurgitations, il doit boire un lait AR qui a une texture assez épaisse. Grâce à cette tétine, il aspire aisément son lait. Cependant, au bout d'un mois d'utilisation, la tétine se fendille au niveau de la fente ce qui augmente fortement le débit qui devient alors incontrôlable.</t>
  </si>
  <si>
    <t>Attention l'appareil ne dispense pas lui même le lait. En regardant la jolie vidéo de présentation on se dit c'est bon l'appareil prépare lui même le biberon, en fait c'est faux, vous devez d'abord attendre le premier jet d'eau à 70 degrés, puis mettre le lait en poudre et ensuite l'appareil ajoute l'eau. Je paie pas 70 euros un appareil qui fait pas la boulot à ma place. Demandé un remboursement au motif que la vidéo ne présente pas correctement le produit. Je préfère en prendre un plus cher mais qui soit vraiment la Dolce Gusto du biberon.</t>
  </si>
  <si>
    <t>Conforme à l'annonce Pas plus efficace qu'un autre produit car avant il résister aux antibiotiques et à la javel mais plus maintenant pourquoi ?</t>
  </si>
  <si>
    <t>Très confortables et légères pour aller travailler et pour marcher. Je les recommandrai Très légères et confortables pour marcher et au travail. Je recommandrai.</t>
  </si>
  <si>
    <t>Impeccable super bouilloire.</t>
  </si>
  <si>
    <t>Bien mais Sacs qui ferment bien pour congeler ou ranger au frigo. Que 4* car c’est pas très écologique tout ce plastique... je les ai pris pour rajouter à mon panier ;-)</t>
  </si>
  <si>
    <t>Trés content du produit Trés bon rapport qualité prix.</t>
  </si>
  <si>
    <t>Nickel Produit conforme à la description. Rien a redire dessus. Facile à nettoyer. La bouilloire chauffe vite. Je recommande ce produit.</t>
  </si>
  <si>
    <t>Bien Conforme à sa photo de présentation. Fidèle à la qualité scotch, RAS. Petit dessin amusant sur les tubes qui plaisent bien. La petite boîte en métal est solide et sympa. Peut servir à toute sorte de choses après...</t>
  </si>
  <si>
    <t>Avis sur article Bien</t>
  </si>
  <si>
    <t>Super Rien a dire</t>
  </si>
  <si>
    <t>Reebok classic intemporel Très bon produit de qualité, le blanc se marie avec tout, cependant il faut en prendre soin car  c'est très vite salissant, faire attention aux jean qui peuvent déteindre.</t>
  </si>
  <si>
    <t>Table Pliable pour pc Table Pliable assez robuste. après avoir trouvé la bonne hauteur et la bonne inclinaison, elle est parfaite pour travailler debout par exemple. Bien stable posée sur un bureau, par contre je n'ai pas essayé sur un lit.</t>
  </si>
  <si>
    <t>Excellent rapport qualité prix... Très pratique! Faible encombrement... très satisfaite de  cet achat!</t>
  </si>
  <si>
    <t>taille parfaitement  trés confortable parfait pour quelqu'un qui doit porter des bandes de contention</t>
  </si>
  <si>
    <t>Arcicle super Super content de mon achat, ensemble en verre , bonne qualité,  ravi de mon choix</t>
  </si>
  <si>
    <t>Ravi Très beau produit</t>
  </si>
  <si>
    <t>Super !  great item... Chaussures conformes à l annonce... super confortables Je recommande vivement ce produit</t>
  </si>
  <si>
    <t>Excellent produit Super produit!elles sont confortables souples et ont une joli forme. Je les mets tous les jours elles sont légères et très résistantes. Je recommande sans problème.</t>
  </si>
  <si>
    <t>Top et livré à la date prevue Super, très bon rapport qualité/prix.</t>
  </si>
  <si>
    <t>achat récent C'est exactement la chaussure de sport que je souhaitais. Elle s'adapte parfaitement à mon pied. Très très bon produit rapport qualité prix. Cordialement</t>
  </si>
  <si>
    <t>montre basique Je suis déçu par cet article et m'attendais à mieux. Bien sûr pour le prix il ne faut pas trop en demander.</t>
  </si>
  <si>
    <t>Abimé au bout de 5 mois Mettant des nikes depuis de nombreuses années, je cherchais un paire cuir noir en nike air. Ayant trouvé celles ci sur amazon, j'ai acheté. Mon avis 5 mois après l'achat : de gros doute sur l'authenticité du produit. Jamais aucune de mes nikes ne s'étaient abimées aussi vite. Au bout de 3 mois, le plastique sur les talons commençaient a partir comme une pelure de peau, au bout de 5 mois, la couleur s'en va sur le devant de la chaussure. Premier achat a distance pour des chaussures et surement le dernier. Tres deçu...</t>
  </si>
  <si>
    <t>tres tres dur je ne les ai jamais mis trop mal</t>
  </si>
  <si>
    <t>Bof Textile non résistant... déchiré au premier port</t>
  </si>
  <si>
    <t>Beaux mais... Confortables , pas d'odeur, mais l'intérieur  est entrain de se déchirer après 1 mois d'utilisation .</t>
  </si>
  <si>
    <t>Bon produit très esthétique Bon produit. Petit bémol, la fenêtre permettant la visualisation de la quantité d'eau reste constamment embuée. Autrement,rien à dire.produit très esthétique</t>
  </si>
  <si>
    <t>Débit trop rapide pour bb d 1 mois Pour lait épaissi bb d un mois le lait coule trop vite à utiliser peut être à partir de 2 ou 3 mois</t>
  </si>
  <si>
    <t>Très efficace Pour l'odeur fraîche et délicate on repassera ! On est dans la bonne vielle fragrance de chiotte ! Le produit en lui même s'accroche bien à la cuvette et le tourniquet à l'intérieur libère du produit qui entretien entre deux récurage pour les petites commissions !</t>
  </si>
  <si>
    <t>Magnifiques Converses Magnifiques Converses d'un beau rouge. Taille choisie 36,5 pour une pointure 37. Livraison rapide : commandées le 22 janvier et reçues le 29. Très satisfaite.</t>
  </si>
  <si>
    <t>calendrier bien amballer ce  calendrier correspond  complètement à  ce que je désirai  place  assez grande  pour écrire à coté de la date désirer,</t>
  </si>
  <si>
    <t>excellent rapport qualité/prix. J’ai reçu un paquet contenant : -2 Écouteurs Bluetooth Sans Fil -1 Boîte de chargement -1 Câble de chargement -3 Embouts de différentes tailles -un sac en tissu -le Manuel d'utilisation. Après quelques jours de tests, les écouteurs fonctionnent très bien. Ils sont agréables et légers à porter. Ils ne font pas mal et se font oublier. La texture de l’embout s’adapte parfaitement à la forme de mon oreille. Le jumelage avec mon smartphone se fait sans souci. Le son est de bonne qualité. Je m’en sers aussi bien pour téléphoner que pour écouter la musique, et je suis libre de mes mouvements, notamment à la gym. Les + : -Petits, -légers, -Ils tiennent très bien en place, une fois la bonne taille d’embout trouvée, -Le son est tout à fait satisfaisant, -Autonomie tout à fait satisfaisante, de plus de 3 heures en écoute continue, -réduction du bruit efficace, -l’utilisation est simple et intuitive, -La petite boite de transport permet de les recharger et en même temps de les ranger, -La portée du bluetooth est bonne. Pour moi c’est un très bon produit.</t>
  </si>
  <si>
    <t>Chaussure de sécu jb Les chaussures de sécurité me vont parfaitement bien elle sont très belle et il y à la coque de protection... très bon produit</t>
  </si>
  <si>
    <t>Conforme Satisfaite Conforme a la description Recu comme convenu a la date prévue</t>
  </si>
  <si>
    <t>Bien conçu et facile a utiliser La conception est super bonne, les axes sont aux pas a pas, des trous permette d'y accéder entre 2 positionnements. Vraiment agréable, je m'en sert dans ma voiture, les empattements sont parfaitement adapté aux sièges de ma 208</t>
  </si>
  <si>
    <t>parfait parfait de très bonne qualité</t>
  </si>
  <si>
    <t>Super surprise Très bonne idée de cadeau surprise pour ma copine. Le cadeau est bien différent de ce qu'on peut généralement retrouver dans les boutiques ou dans les grandes surfaces. Avec des composants fournis, on a la possibilité de le rendre unique et remarquable. Je suis tout à fait convaincu.</t>
  </si>
  <si>
    <t>excellent belle chaussure, bonne taille. En tout cas mon mari est très content !</t>
  </si>
  <si>
    <t>Un des meilleurs achat que j'ai fait ! Acheté il y a deux ans. je l'utilise tout les jours.  C'est confortable, le son est bon. Je m'y suis vraiment attaché.  J'ai dus changer le câble une fois. Mais je suis pas spécialement soigneux avec le câble. Et puis le fait qu'on sache changer le câble est vraiment un bonus.</t>
  </si>
  <si>
    <t>Bonne lampe de bureau Lampe de bureau très pratique avec le tactile et les diverses intensités lumineuses ainsi que le branchement USB qui permet de recharger ses appareils sans se baisser vers une prise au sol.</t>
  </si>
  <si>
    <t>bien cuir bien qualité très beau cuir épais，il correspond parfaitement à mes attentes，sacoche vrai cuir juste ce qu'il faut ni trop grande ni trop petite a l'air solide，belle qualité et très pratique, il est important pour moi de porter l'épaule. rangements nombreux. Très satisfaite de mon achat .</t>
  </si>
  <si>
    <t>Biberon avent philips Pour tous mes bébé c'est toujours cette marque que j'achète , c'est le meilleur biberon .</t>
  </si>
  <si>
    <t>Montre parfaite Très belle et super résistante. Vu la vie que les montres subissent avec moi il me fallait au moins ça. Le bracelet en métal est un réel plus en matière de solidité et de plus il est doté d'un système d'accroche qui ne se détache là où les bracelets plastique rendaient l'âme. Je suis satisfait.</t>
  </si>
  <si>
    <t>Beau produit sérieux ! Après 3 semaines d’utilisation... achat sérieux... bien heureuse d’avoir changé de modèle pour celui-ci... je ne connaissais pas la marque et bien allez-y... c’est une marque sérieuse... aucun regret !!!! En plus la qualité est au rendez-vous</t>
  </si>
  <si>
    <t>Bon produit, mais ne tient pas longtemps Je l'utilise depuis plus de 3 mois et c'est très pratique avec le petit goupillon pour les tétines. Je trouve dommage par contre que le gros goupillon ne ressemble plus à rien au bout de si peu de temps ... Les "poils" du goupillon sont tous rassemblés. Il faut déjà que j'en rachète un autre.</t>
  </si>
  <si>
    <t>Nul Son mauvais désagréable a porté chère pour rien</t>
  </si>
  <si>
    <t>prix intéressant mais chausse trop grand d'une taille Rend service pour un usage ponctuel, le temps d'un chantier  la durabilité pose quand même question, la finition fait un peu cheap, et surtout taille bien trop grand, une bonne taille au moins à compenser par une grosse paire de chaussettes supplémentaire</t>
  </si>
  <si>
    <t>Bonne qualité mais... Bonne qualité mais cuir assez raide. Elles aurais mérité de les assouplir.Habitué de cette marque ce ne sont pas les plus confortable mais font l'affaire</t>
  </si>
  <si>
    <t>De bonne facture. Casque de gaming de bonne facture, les fiches sont solides et protégées à la livraison. Réglage du son et coupure du micro possible. Le micro se replit sans gêner l'utilisation du casque sans celui-ci. S'adapte à toute taille de tête, même pour un enfant de 7ans.</t>
  </si>
  <si>
    <t>Sweat sympa Le tissus est de bonne qualité et ne bouge pas au lavage. La coupe est plutôt cintrée à la taille (je ne m'y attendais pas) pour un 38 j'ai pris taille M et c'est parfait mais la taille est marquée. La couleur est identique à la photo : très sympa. Je conseille mais attention à la taille !</t>
  </si>
  <si>
    <t>très bon quelque bémol pas de boutons on/off ça devient une basse de nos jours.. un son pas assez puissant, il n'y a pas de réduction des bruits alentour, sinon le son est relativement propre a ce prix là on peut pas s'attendre a vraiment mieux, le bras est parfait  par contre, très fluide, assez solide et assez long</t>
  </si>
  <si>
    <t>Bien Bonne qualité du papier , attention aux petites découpes pas forcément facile à découper ! Je recommanderai si besoin tout de même</t>
  </si>
  <si>
    <t>Style Bon produit</t>
  </si>
  <si>
    <t>Très bien Machine de lavage de parfum de qualité et de taille appropriée.La pulvérisation est très fine, l 'huile essentielle est ajoutée à l' eau et l 'odeur de la fumée par pulvérisation devient très douce.Petit objet ménager exquis, il est beaucoup plus confortable de dormir le soir.Ajouter de l 'huile essentielle pour faciliter le sommeil.C 'est bien de le mettre sur le lit et de l' utiliser comme lampe de nuit le soir.AIR diffuse confortable parfum pour détendre, le rapport coût - efficacité, de qualité, facile à transporter.</t>
  </si>
  <si>
    <t>Bon produit RAS livraison rapide. Conforme</t>
  </si>
  <si>
    <t>RAS impeccable</t>
  </si>
  <si>
    <t>Confortable et fonctionnelle J ai acheté cette table de massage pour un usage personnel. Je suis entièrement satisfaite , la mousse est assez épaisse pour permettre une position allongée confortable, les accessoires permettent de faire comme dans un salon d esthétique. Elle est très simple à monter Entièrement satisfaite Je recommande</t>
  </si>
  <si>
    <t>Boucles d'oreilles Excellent produit</t>
  </si>
  <si>
    <t>Brassière sport Très bonne qualité, taille parfaitement bien, soutien bien; rien à redire, j'en suis très contente!</t>
  </si>
  <si>
    <t>Très classe ! Franchement, pour le prix on ne peut pas demander mieux ! La montre est sobre et classe, par contre le bouton pour régler l'heure peut faire un peu mal si on plit un peu trop le poignet</t>
  </si>
  <si>
    <t>Satisfait Commande et livraison rien à dire Produit de qualité utilisé pour balades pépère à pieds sur terrain gras, boueux ou herbes mouillée : pas de problème d'imperméabilité Difficulté à enfiler et à enlever les pieds mais cela se prête à la longue (prévisible et normal)</t>
  </si>
  <si>
    <t>Super Nike MD Runner je suis déjà un adepte des Nike MD Runner mais c'est la première fois que je commande sur internet. Je suis trés satisfait du produit et de la livraison. Comme beaucoup de Nike, il faut prendre la pointure au dessus (je chausse du 42 mais en Nike je prend toujours du 43)</t>
  </si>
  <si>
    <t>Cafetière café Exélent ma cafetière rapide et fait du bon café s'entretient très bien et qualité prix. bravo</t>
  </si>
  <si>
    <t>super produit livraison rapide, bon produit qui a atteint mes demandes je recommande vivement cet article. la résistance se vérifiera après plusieurs utilisation dans le temps mais c'est conforme avec mes attentes</t>
  </si>
  <si>
    <t>Conforme à ce que j'en attendais C'est une montre comme j'en avais une en 1979, donc les fonctionnalités n'ont pas variées, mais cela reste un bon produit qui fait le boulot.</t>
  </si>
  <si>
    <t>Recommandation Trop parfaite. J'adore</t>
  </si>
  <si>
    <t>Taille ok super pantalon Parfait, la taille est correcte il est joli et agréable à porter. Le design est sympa.</t>
  </si>
  <si>
    <t>Top 5 ⭐</t>
  </si>
  <si>
    <t>Bof Très joli pendentif. Mais au bout de deux jours la chaîne noircit. Je suis contente de ne l'avoir payé que 9euros en promo et non pas 129 (prix d'origine).</t>
  </si>
  <si>
    <t>inconfortable le massage est douloureux il y a juste un filet qui recouvre les boules de massage, il aurait fallu une couche plus épaisse comme de cuir.</t>
  </si>
  <si>
    <t>Passez votre chemin. Acheté pour permettre à ma mère d'essayer sans se ruiner, et heureusement! Tapis trop mou, fleurs non douloureuses au premier essai (je sais, ça a l'air "maso" mais c'est l'effet que ça doit faire pour fonctionner, c-a-d vous obliger à vous détendre). Bref, au lieu de vouloir faire des économies, mieux vaut mettre de côté l'argent nécessaire pour "le vrai".</t>
  </si>
  <si>
    <t>Bien mais pas resistante Les chaussettes sont déjà percée en dessous (frottement dans les palme) Le principe d'une chaussette basse et bien, mais la qualité est un peu légère</t>
  </si>
  <si>
    <t>Très joli C'est un joli pendentif mais il faut y faire attention car il est vraiment très fin malgré cela il est très beau</t>
  </si>
  <si>
    <t>Peut encore mieux faire C'est parfait, on est sûr de ne pas se tromper mais ce serait encore mieux si on pouvait y ajouter un petit mot.</t>
  </si>
  <si>
    <t>Bof Jolie tape à l’œil pas étudie pour mon métier ( carrossier peintre ) , 2 mois , est je vois déjà les protections , je ne vais pas dire déçu Car elle on tenue au temps que des marque comme f..... ou ks..... mais d’une fragilité certaine</t>
  </si>
  <si>
    <t>Pas mal Jolie, beaux design. A voir avec le temps...</t>
  </si>
  <si>
    <t>Excellente Reçu rapidement, dans un emballage simple mais les chaussures etaient en parfait état. Agreable a porter, j'ai commandé ma pointure habituel et elle me conviennent parfaitement. Les lacets sont grands et ont l'air de bonne qualité. 1 mois a les porter et rien a redire</t>
  </si>
  <si>
    <t>Super ! Très utile, facile à utiliser. Son grand écran permet une bonne lisibilité du temps restant. Achat à recommander malgré un prix un peu élevé.</t>
  </si>
  <si>
    <t>Plusieurs couleurs possible a prix très raisonable. Pas d'occasions spéciale la forme et la couleur m'a plu  ,</t>
  </si>
  <si>
    <t>Très très confortablee J’ai pris taille 37,5 et pas 38 taille habituelle</t>
  </si>
  <si>
    <t>Kit KARAOKE ampli avec 2 micros sans fil Cet ensemble KARAOKE est devenu indispensable pour finir nos soirées du samedi soir en chantant. Les 2 micros sans fil se baladent entre les mains. La lumière bleue fait son petit effet aussi en soirée avec lumière tamisée. Les 2 micros en alu sont assez lourd et font réellement professionnel. La transmission VHF est bonne et je ne peux que recommander ce produit.</t>
  </si>
  <si>
    <t>SUPER Enfin un fournisseur qui a compris, que certaines personnes travaillent déjà leur planning de l'année prochaine, et en plus agenda français . On regrette seulement que 2021 ne soit pas déjà dispo, mais bon, peut-être trop exigeants.  Merci de toute façon</t>
  </si>
  <si>
    <t>Basket de sport J'ai acheté ces baskets en violet et la couleur est très jolie. J'ai pris ma taille habituelle et elle ne me serre pas du tout au niveau de la cheville, elles se portent bien. Je m'en sers pour le jogging et à la salle de sport et les semelles amortissent parfaitement les chocs quand je cours. Les chaussures ont des aérations qui permettent aux pieds de bien respirer. Tout a fait satisfaite.</t>
  </si>
  <si>
    <t>Bébé adore Pour une fois bébé peut peindre avec les doigts et il adore :-)</t>
  </si>
  <si>
    <t>La tong parfaite Tong parfaite. Les anciennes que j’avais ont été acheté en boutique et cellle ci rien à redire. J’ai pris la taille en me référant au tableau des tailles. La tong idéal pour sortir de la douche et traîner à la maison !</t>
  </si>
  <si>
    <t>Très class Boucles d'oreilles reçues dans une belle boite.  Elles sont très belles, avec un petit poussoir en caoutchouc pour ne pas qu'elles bougent.  Je suis très contente de mon achat.</t>
  </si>
  <si>
    <t>Jolies brassière Très agréable à porter, bonne matière, bien cousu, pas de mauvais détails. Bon produit !</t>
  </si>
  <si>
    <t>100% ok 100% ok</t>
  </si>
  <si>
    <t>Très sympa Vraiment sympa j’adore</t>
  </si>
  <si>
    <t>Confortable et pratique Produit conforme</t>
  </si>
  <si>
    <t>Costaud utilisée tous les jours pour mon travail , elle semble indestructible par rapport à de nombreux modeles que j'ai deja "testé" .</t>
  </si>
  <si>
    <t>Top Très joli bracelet ! 😉 Je recommande !</t>
  </si>
  <si>
    <t>Beaucoup trop petit Je viens de recevoir ce jogging , il y à un soucis , j'ai bien regardé le guide de taille avant de passer la commande , je taille du 38 en pantalon jeans , donc puisqu'il est mis dans le tableau guide des tailles que de 38 à 40 c'est S , j'ai pris un S , bha loupé , c'est trop petit , une taille en dessous , il m'aurrait fallut un M comme je pensais prendre , mais j'ai préféré me fié au tableau sur la page de commande du jogging .  J'ai du mal à comprendre tous ceux qui trouve qu'il taille large , j'ai l'effet absolument contraire , c'est domage , la qualité n'est pas mauvaise pour le pris , mais il va rester au placard , pfff.........</t>
  </si>
  <si>
    <t>Manque de douceur Rouleaux plutôt petits avec un grand trou. papier de toilette assez et manque flagrant de douceur; en  résumé,  un papier de toilette bas de gamme et peu économique.</t>
  </si>
  <si>
    <t>Deçu Produit arrivé, semelle mal collé ce qui fait que la chaussure prend l'eau.  Seule solution proposé par amazon : les recommander, sauf qu'elles sont maintenant a 159 euros au lieu de 102.  Aucun geste commercial possible, enfin si un bon de 5 euros. Je trouve cela inadmissible.</t>
  </si>
  <si>
    <t>Utile Manque un rabat en bas pour ne pas perdre les feuilles</t>
  </si>
  <si>
    <t>Bel effet Ces boucles d'oreilles sont magnifiques dommage qu'elles soient un peu lourdes et volumineuses en épaisseur du coup elles penchent vers le bas et l'effet est moins sympa sur l'oreille. Joli écrin pour les ranger</t>
  </si>
  <si>
    <t>Joli Conforme à la photo. Très joli. Chaîne très fine sans buttoir aux extrémités ; les deux éléments peuvent donc tomber lorsqu'on retire le collier.</t>
  </si>
  <si>
    <t>Pierres magnifiques J’adore la matière des pierres noires style volcaniques, un petit bémol la taille du bracelet un peu grande pour mon petit poignet, peut être est ce un modèle homme ?</t>
  </si>
  <si>
    <t>Prendre une taille au dessus Ras</t>
  </si>
  <si>
    <t>Collier cuir Pas decue produit de bonne qualite. Matiere assez solide. Je fabrique des bijoux gain de temps avec se colliers en cuir</t>
  </si>
  <si>
    <t>Super Ma fille les adore j' en ai recommandé d autres</t>
  </si>
  <si>
    <t>Un très beau produit...so british Après diverses recherches sur les grille-pain (internet, magasines consommateurs...), mon choix s'est porté sur ce modèle qui semble offrir l'avantage de la solidité de fabrication, présenter de nombreuses fonctions utiles et, accessoirement, mettre en évidence la beauté du produit. Pour mémoire, Russel and Hobbs est une vieille maison anglaise qui a une solide réputation pour la fabrication de ses produits de la gamme rétro, car ce produit semble en effet tout droit sorti des cuisines des années 50, dans les romans d'Agatha Christie. Le corps est en acier de couleur rouge empire (mon choix) surmonté d'un pourtour ouvragé de style victorien en inox. Un cadran vintage indique le temps pour griller / chauffer vos pains ou viennoiseries (n'excédant jamais 3 minutes) en fonction du degré de cuisson choisi. Le plus, c'est la grille (fournie) que l'on pose sur le toaster et qui permet de chauffer délicatement les viennoiseries n'entrant pas ou difficilement dans les fentes (d'environ 3 cm) servant à griller les toasts. La cuisson est relativement rapide, homogène (les parois sont légèrement chaudes mais non brûlantes !) et la puissance de l'appareil exige de bien choisir, à l'aide d' une petite manette, le niveau (de 1 à 6 ) de cuisson adéquat (je l'ai positionné sur 2). Enfin, un utile tiroir ramasse-miettes (et oui, il y en a un !) permet de maintenir l'appareil propre et de le nettoyer tout aussi rapidement avec une certaine facilité. La fonction décongélation est également fournie et il est possible de soulever la manette d'intrusion des toasts pour vérifier, de visu, le degré de cuisson tout en maintenant le cycle de fonctionnement. Enfin, le rapport qualité-prix est extrêmement satisfaisant par comparaison à d'autres produits (beaucoup plus chers pour certains) ne présentant pas les mêmes qualités ni la même esthétique ... unique.</t>
  </si>
  <si>
    <t>Bon goût de café moulu Bonne qualite de produit Bonne mouture du café Thermos qui maintient la température du café pendant longtemps Réglage du nombre des tasses appréciable Nettoyage facile et utilisation intuitive</t>
  </si>
  <si>
    <t>Super Je suis très contente de mon achat.</t>
  </si>
  <si>
    <t>très bonne qualité ne valent pas celles des années 80 fabriquées en angleterre mais quand même, elles ont toujours la classe et tiennent quand même bien la route</t>
  </si>
  <si>
    <t>Chaud et confortable. Parfait 👌</t>
  </si>
  <si>
    <t>Bon adaptation débit âge Mon fils avait l'habitude de ces tétines avec un débit très adapté à  son âge par rapport à d'autres marques</t>
  </si>
  <si>
    <t>Bon produit Ça fait 2 mois que je l'ai et j’en suis ravie. En tant qu’assistante maternelle je m’en sert très souvent. On peut y mettre 8 biberons (petit, grand, marque différente). Et les tétines et capuchons au dessus. On peut même y mettre des bouteilles adultes (Tupperware, Soda stream...) L’eau s’évacue bien dans le récupérateur grâce aux trous, l’eau ne stagne donc pas. Il est solide  Je recommande ce produit.</t>
  </si>
  <si>
    <t>Parfait ... Pour ma part, très content, adapté à la pointure commander, légère, costaux, bon prix, à recommander sans problème ..</t>
  </si>
  <si>
    <t>Amazon m'étonnera toujours. Ça alors, acheté jeudi soir, livraison le samedi matin, alors que je n'ai même pas demandé une livraison express, la rapidité d'Amazon et des transporteurs m'étonneront toujours. (France métropolitaine).  Alors que dire de ces Timberland, elles sont parfaite ! Ce sont bien des vrais, dans leurs vrai carton, n'ayez pas de crainte là-dessus, et surtout prenez bien une demie voir une taille en dessous. J'ai suivi ce que les autres on pu dire dessus, et au final je fais du 45 j'ai pris du 44 et c'est se qu'il me fallait. (Même si je vous conseille une taille en dessous perso, plutôt qu'une demie).</t>
  </si>
  <si>
    <t>Génial. Juste parfait</t>
  </si>
  <si>
    <t>très bonne montre Après presque 2 ans d'utilisation rien à redire. Pas besoin de s'en occuper elle est toujours à l'heure exacte avec le passage automatique des heures d'été et d'hiver. Le verre saphir, le boitier en inox et le bracelet en inox sont impeccables.</t>
  </si>
  <si>
    <t>Chanter en toute liberté Les commandes ont été reçues très bien emballées et en temps voulu. Le microphone est un très beau rose brillant, et nous l’avons trouvé très bon. L’appareil est léger, facile à manipuler et à tenir à la main, et je recommande vraiment ce microphone</t>
  </si>
  <si>
    <t>Excellent rapport qualité/prix Un très bon micro, parfaitement adapté aux débutants ou aux soirées karaoke. Il est livré dans un boitier plastique robuste, avec une mousse découpée à sa taille et un support pour pouvoir l'adapter sur un pied. Le rendu sonore est très bon une fois que l'on a jaugé de la bonne distance à laquelle le positionner pour obtenir le meilleur rendu. Le poids est assez élevé mais il lui confère un aspect qualitatif trés sérieux. Un très bon produit à prix raisonnable, je le recommande tout à fait.</t>
  </si>
  <si>
    <t>Assez petit Chaussures très élégantes. Le problème que la taille est assez petite . J'ai choisi une chaussure de 44 EU malgré ma pointure est 43 mais il reste petit !</t>
  </si>
  <si>
    <t>LA QUALITE N'EST PAS AU RV Ce produit vendu et expédié par Amazon n'est pas un critère de confiance apparemment. En effet, il y a quelques mois j'ai commandé une cartouche noire HP 302 XL, compatible avec mon imprimante HP, mais celle-ci ne la reconnaît pas. Je n'ai plus qu'à la jeter à la poubelle - je suis très déçue.</t>
  </si>
  <si>
    <t>Passable Beau tee shirt qui a fait son effet malheureusement à force de lavages la virgule nike se décolle c'est regrettable</t>
  </si>
  <si>
    <t>Beau et qualité moyenne. Nous avons acheté ce bola aussitôt l'annonce de ma grossesse. A deux mois de l'achat, le bola est à quelques endroits enfoncé car le matériel utilisé pour la boule est fin. De plus le cordon a cassé, j'y ai fait un nœud pour le garder le temps de racheter un autre cordon. Cela est très dommage car c'est un bel article mais de faible qualité.</t>
  </si>
  <si>
    <t>Taille trop petit Très bonne qualité de sweat, belle coupe, mais taille très petit par rapport à d’autres marques en vogue au collège !</t>
  </si>
  <si>
    <t>Chauffe biberon Un peu dur à comprendre les explications</t>
  </si>
  <si>
    <t>Sacoche pratique et bien pensée, mais attention aux coutures de la poche devant Belle sacoche, proportions nickel, je peux mettre tout ce dont j'ai besoin, y compris mon chéquier qui passe en hauteur. J'adore également la couleur double denim. Seul bémol, la poche de devant dont les coutures sont trop légères au niveau des angles de la fermeture éclair. Je vais devoir les consolider car il est évident qu'elles vont vite lâcher vu qu'elles sont très sollicitées.</t>
  </si>
  <si>
    <t>Bof Déçu sur la qualité de l’emballage et la qualité du marquage sur le produit. Les chiffres du dosage sont à moitié effacés. Sinon les biberons sont bien.</t>
  </si>
  <si>
    <t>Bien Chaussures confortables car assez larges les pieds sont à l'aise dedans , la pointure est bonne juste nickel , bon rapport qualité prix.</t>
  </si>
  <si>
    <t>Cool Cool</t>
  </si>
  <si>
    <t>Merci Merci beaucoup</t>
  </si>
  <si>
    <t>Très bon achat Chaîne très bien je la porte tous les jours elle ne bouge pas... très bon achat</t>
  </si>
  <si>
    <t>Bonne ergonomie Je suis très contente ces écouteurs au premier abord j'étais perplexe parce qu'il me paraissait un peu grand mais il reste parfaitement dans l'oreille la qualité est correcte au niveau du son et l'autonomie m'a permis de faire un semi-marathon.</t>
  </si>
  <si>
    <t>Parfaite Les chaussures sont très confortables, esthétiquement elles sont jolies et pour la conduite elles sont très agréables il n'y a aucune gêne.</t>
  </si>
  <si>
    <t>Pas trop petite donc pratique Conforme à sa description.</t>
  </si>
  <si>
    <t>Article correspondant exactement à mon attente. J'ai obtenu le produit que je souhaitait, la présentation était claire : bonne photo, bonne description, prix bien encadré. Non, rien à redire, très positif. Merci aussi pour l'exactitude de la livraison.</t>
  </si>
  <si>
    <t>Dr Martens J'adore, juste un petit peu grande mais ce n'est pas grave!!!</t>
  </si>
  <si>
    <t>Très bien Je n'utilise que cette marque pour mon bébé</t>
  </si>
  <si>
    <t>Parfait Parfait rien à dire</t>
  </si>
  <si>
    <t>Kimmes Très bon produit anti douleur. Pour offrir</t>
  </si>
  <si>
    <t>Gommette Gommette de bonne qualité il y a beaucoup de choix formes,motifs,couleurs,chiffres,idéale pour l’eveil des enfants. Se décole très facilement et se colle très bien.</t>
  </si>
  <si>
    <t>Confortables Jolies et confortables, elles se mettraient plutôt avec des chaussures de ville. Elles sont très bien car pas trop fines. Je les ai passées plusieurs fois au sèche linge sans problèmes malgré le fait que ça ne soit pas recommandé.</t>
  </si>
  <si>
    <t>Top Parfait sent excellemment bon rien à dire vraiment content de mon produit et livraison rapide que demander de plus et à petit prix surtt</t>
  </si>
  <si>
    <t>Très bien Les feutres s'effacent bien avec un chiffon humide sur surface non poreuse (étiquette ardoise).</t>
  </si>
  <si>
    <t>Pas mal, mais de marque redmi et non xiaomi Plutôt agréable pour le prix, son de bonne qualité mais micro pas idéal pour les appels et quelques coupures de liaisons Par contre ce ne sont pas les mi de xiaomi mais bien la sous marque redmi</t>
  </si>
  <si>
    <t>Déçue Je m’attendais à mieux en lisant les différents commentaires ... pas suffisamment de texte à mon goût, mon fils. 11 ans, l’a lu en 10 mn... vu le prix - pas négligeable tout de même - je m’attendais à mieux...</t>
  </si>
  <si>
    <t>ne marche déjà plus/son beaucoup trop fort après 2 mois d'utilisation (normale et sans chute) l'heure ne s'affiche plus et le réveil ne fonctionne plus... ça reste une enceinte qui s'allume... au passage, le niveau sonore du réveil était insupportable (un mal pour un bien donc!) enfin notice pas claire et réglages peu intuitifs je déconseille</t>
  </si>
  <si>
    <t>Bien Le descriptif annonçait. Une combinaison  alors que c est un ensemble. Peut être la traduction! Néanmoins contente de cet achat prête à repasser une commande</t>
  </si>
  <si>
    <t>le cable n'a tenu qu'une soirée et il était deja cassé. Micro de bonne qualité mais cable vraiment pas bon.</t>
  </si>
  <si>
    <t>Fait le job Ras</t>
  </si>
  <si>
    <t>Converse rouge La couleur est belle, la chaussure est une converse donc le confort ,et la légèreté reste ceux des converses. Je les recommande .</t>
  </si>
  <si>
    <t>Très joli bracelet C'est un cadeau de Noel... A voir donc plus tard</t>
  </si>
  <si>
    <t>Bon produit pour le prix Pas de problème à voir dans le temps</t>
  </si>
  <si>
    <t>Parfait Bien chaud, bien taillé. 1,73 m taille M, parfait ! Je recommande</t>
  </si>
  <si>
    <t>Parfait et efficace Satisfait</t>
  </si>
  <si>
    <t>Très bien mais Très bien. J'avais des problèmes avec le micro à condensateur et cherchait un amplificateur. Très facile à brancher, aucun problème de parasite. Seul problème : le transformateur chauffe, indiquant que le produit demande pas mal d'électricité.</t>
  </si>
  <si>
    <t>Chaussettes de bonne qualité Chaussettes de bonne qualité et confortable. Taille comme il faut, pas très haute. Tout ça pour un prix plus que correct.</t>
  </si>
  <si>
    <t>Bon produit utilisation principalement pour eau chaude à différentes température Répond parfaitement à notre attente</t>
  </si>
  <si>
    <t>Bon sweat Reçu très rapidement, conforme à la photo,pull assez fin ,commander en taille M convient pile poil</t>
  </si>
  <si>
    <t>TB prix qualite T B</t>
  </si>
  <si>
    <t>Contente Très jolie meilleure qualité que j’espérais! J’aime beaucoup!</t>
  </si>
  <si>
    <t>Robe sweat bordeaux Trop sympa et chaude, pour rester à la maison ou pour les sorties.avec des bottes ou des baskets, effet chic ou effet cool. C'est une robe sweat à capuche qui passe partout. Je l'aime beaucoup. La couleur bordeaux est parfaite. La taille est juste ce qu'il me fallait. Je suis contente de mon achat.</t>
  </si>
  <si>
    <t>Ff Cf</t>
  </si>
  <si>
    <t>joli bague Commande reçu avec un peu d'avance bague réglable en argent, elle est fine et très joli. je recommande cette bague</t>
  </si>
  <si>
    <t>Très beau Nickel</t>
  </si>
  <si>
    <t>Seiko SNG15K1 Montre reçue en moins de deux semaines. Aucun problème. Paraît plus petite sur la photo. Un bémol, le bracelet fait un peu cheap au regard de la qualité globale.</t>
  </si>
  <si>
    <t>Huiles essentielles J'ai testé mes huiles qui ont toutes une très bonne odeur. Chacune a sa particularité: ajouter quelques gouttes dans vos huiles de massages,sur vos mouchoirs,dans vos chaussures,vos crèmes...elles vous procurent bien etre,detente,anti-stress...les flacons sont bien remplie,très bon rapport qualité prix,économique.je vous recommande ces huiles essentielles</t>
  </si>
  <si>
    <t>Trop agréable Ce coussin chauffant est très agréable. Reçu juste à temps pour un week-end de 3 jours au chaud... Je suis ravie de mon achat et mon mari aussi, bataille assurée. Très simple à utiliser, en plus il est lavable. La sécurité qui l'éteins tout seul est très appréciable en cas d'oubli</t>
  </si>
  <si>
    <t>Certificat ? boite ? je ne sais pas si je vais garder, pas de certificat, un simple sachet plastique, est-ce un vrai ? je veux bien faire confiance à Amazon, mais je me demande si je vais pas aller voir en bijouterie</t>
  </si>
  <si>
    <t>Crocs Fan de cette marque, j’achete en toutes les couleurs pour toute la famille. C’est la première fois que je suis déçue de cette marque: laissée sur la terrasse cette été, elles ont rétréci considérablement a ne plus pouvoir les mettre! Je précise que c’est les seules à rétrécir, les autres paires n’ont pas bougé. Inexplicable car chaussures d’exterieur</t>
  </si>
  <si>
    <t>A éviter Déception cousus à l envers bien le chinois pas cher mais pour le reste on repassera</t>
  </si>
  <si>
    <t>Trop petit La fiche descriptive n'était pas suffisamment détaillée quant à la taille du produit. Dommage. Autrement les poches sont suffisamment fonctionnelles.</t>
  </si>
  <si>
    <t>top Très bon livre lu aussi a lecole</t>
  </si>
  <si>
    <t>Très bien vu le prix Très agréable, on peu mettre avec ou sans chaleur, par contre pour le dos si on veut s'appuyer contre le massage peut être un peu fort: avec une serviette entre le dos et l’appareille c'est mieux. Seul bémols: quand on le met dans le dos, le câble à tendance à se débrancher facilement. vu le prix je recommande</t>
  </si>
  <si>
    <t>Bon produit Très joli. Tien ces promesses</t>
  </si>
  <si>
    <t>Très bon compromis prix/performance De très bonnes finitions, un look sympa et un son plus qu'honorable au vue du prix. Attention tout de fois, la télécommande sur le fil ne permet pas de régler le volume mais juste les fonctions pause/play et prendre un appel. Je recommande pour les jeunes et/ou pour un usage de tous les jours (bus, train, métro...). Audiophiles exigeants passaient votre chemin ;)</t>
  </si>
  <si>
    <t>Nickel Très bien</t>
  </si>
  <si>
    <t>Parfait Chic</t>
  </si>
  <si>
    <t>Très faciles à utiliser On ne fait pas plus simple. Pour allumer les écouteurs, il suffit de les retirer du boitier de charge. Attendre 5 sec que l'un des anneaux lumineux clignote rapidement pour confirmer que les écouteurs sont appairés. Ouvrir le Bluetooth du smartphone et connecter l'appareil Hi-TWS L. Cette connexion se rétablira à chaque nouvelle connexion. Il est aussi possible de connecter un seul écouteur. L ou R. Tout cela est très bien expliqué dans le mode d'emploi en Français. Pour éteindre on replace les écouteurs dans le boitier de charge, ils s'éteignent automatiquement et la charge démarre. La capacité restante dans le boitier de charge est indiquée par un système à 4 LED bleues. Le boitier de charge est solide, pratique et peu encombrant. On peut faciler le mettre en poche ou l'attacher à la ceinture. Contrairement à d'autres modèles les écouteurs ne comportent pas de boutons mais des parties tactiles ce qui évite de se faire mal aux oreilles en appuyant sur des boutons. Par l'utilisation de ces parties tactiles sur l'un ou l'autre écouteur, il est possible de règler le volume, changer de chanson, décrocher etc... Les écouteurs tiennent bien dans les oreilles pendant le sport. Il faut utiliser un des quatre jeux de coussinet fournis pour les adapter à votre morphomogie. Le son n'est pas mauvais, les aigues sont claires et la stéréo est parfaite mais par rapport à mon casque Bluetooth (beucoup trop volumineux pour être transporté) je trouve que cela manque de basses. On ne peut pas tout avoir.</t>
  </si>
  <si>
    <t>Top ! Diffuseur au top , fonctionne très bien et diffuse dans toute la maison avec changement de couleurs . Discret et efficace</t>
  </si>
  <si>
    <t>👍 Très belles</t>
  </si>
  <si>
    <t>Ok Ok</t>
  </si>
  <si>
    <t>Génial Génial</t>
  </si>
  <si>
    <t>Produit Satifaisant Je voulais tenter l'expérience du sans fil et c'est chose faite ! Bonne autonomie, et bon son le produit est satisfaisant je recommande!</t>
  </si>
  <si>
    <t>Très bonne qualité. Vraiment ravie de cet achat. Les articles sont de très bonnes qualités et se maintiennent parfaitement bien.  Je suis très satisfaite.</t>
  </si>
  <si>
    <t>Très bien Les avions sont très bien faits. De bonnes finitions. Mon fils arrive à les faire voler jusqu’à 15 secondes à la suite Max</t>
  </si>
  <si>
    <t>parfaites très bon produit . livraison et suivi au top</t>
  </si>
  <si>
    <t>Top Je recommande Très élégant. Magnifique top</t>
  </si>
  <si>
    <t>Des écouteurs de très bonne qualité. Je recommande vivement ces écouteurs bluetooth. Leur autonomie est très élevée, ils tiennent largement la journée. Côté son ils sont très propres pour écouter de la musique, regarder des films ou des vidéos. Ils accrochent très bien aux oreilles.</t>
  </si>
  <si>
    <t>Plus que parfait Une belle qualité (assez épais pour ne pas être transparent une fois enfilé) un toucher doux et chaud à l'intérieur... Plus que satisfaite de la qualité... La poche profonde sur le côté permet de glisser un smartphone pour un sport en musique !!!!</t>
  </si>
  <si>
    <t>Très beau bijoux pour un prix raisonnable! Pendentif discret et pourtant pleins de couleur. Ce produit est totalement magnifique de très bon qualité prix je le conseille fortement mon amie était très heureuse de l'avoir.</t>
  </si>
  <si>
    <t>superbe bon produit je conseille</t>
  </si>
  <si>
    <t>Pas pratique Je n'ai pas du tout l'habitude d'utiliser de tapis de souris avec repose poignet. Cependant, je trouve celui ci franchement pas pratique. 1) Comme évoqué dans un autre commentaire, il n'est pas plat, il s'est/est déformé, les bords remontent. 2) Le repose poignet est trop épais, pour ne pas se casser le poignet, il faut légèrement soulever l'avant bras en permanence, c'est très désagréable. Après, comme dit précédemment, je ne suis pas habitué aux tapis de souris avec repose poignet. 3) Il est trop petit, en ayant le poignet sur le repose poignet, la souris dépasse à l'avant du tapis.  D'un autre côté, l'anti dérapant tient bien et le tissu qui recouvre le tapis n'est pas désagréable.</t>
  </si>
  <si>
    <t>Qualité plus que médiocre Après quelques semaines, la semelle a commencé à se décoller et aujourd'hui, alors que je n'ai pas dû les porter plus de 20 fois au total, sans beaucoup marcher, la semelle est totalement détachée à l'avant du pied droit, ce qui fait que j'ai les orteils à l'air ! Par ailleurs, le renfort du talon part en morceau, que je retrouve dans la chaussure régulièrement. Je n'avais jamais acheté de Converse et je ne suis pas prêt de recommencer ! Même à 45€ on trouve des chaussures de bien meilleure qualité.</t>
  </si>
  <si>
    <t>Nul Franchement j'ai reçu l'article ça correspond pas du tout à l'image et la taille ne correspond pas. Je le trouve moche.</t>
  </si>
  <si>
    <t>Bien mais... Serait plus pratique avec plus d’épaisseur selon la couleur sous vêtements visible</t>
  </si>
  <si>
    <t>Un bonheur Acheté pour remplacer un ancien réveil lumière Philips qui m'avait déjà convaincu il y a 10 ans, je suis fort satisfait de cet appareil qui continue à me réveiller en douceur. Au chapitre des regrets, j'épinglerais : - les boutons, discrets mais peu identifiables dans le noir. J'ai dû les repérer par des gommettes en relief - l'impossibilité de configurer l'alarme pour certains jours de la semaine. - l'affichage de l'heure qui ne varie pas en fonction de la luminosité ambiante, ce qui le rend soit trop fort de nuit, ou illisible en pleine journée.</t>
  </si>
  <si>
    <t>À vérifier et tester suivant le lait Un peu étroit pour le lait épaissi de mon fils mais conviendra parfaitement lorsqu'il faudra repasser sur du lait classique</t>
  </si>
  <si>
    <t>bon produit J’adore les DOC alors oui j'en suis satisfaite!!!  Il devrais y avoir plus de produit comme celui ci soldé dans l'année !!!!!</t>
  </si>
  <si>
    <t>Joli produit Joli produit mais taille légèrement petit tout de même. Je ferai avec.</t>
  </si>
  <si>
    <t>Très satisfait de mon achat Montre magnifique et vraiment pas cher. J'ai mis environ 3 semaines à la recevoir par contre mais ce n'est pas grave.</t>
  </si>
  <si>
    <t>Bottes de plaisanciers. Un mythe, une légende.   Elles en ont fait des tours de monde en solidaire ou en équipage. Présent sur tous les pontons du monde, de la Trinité à Dinard, elles terminent au café du bord à refaire les bords ,un pull négligement jeté sur les épaules.  La boite à chaussure fleur bon les embruns et le goémons et invite à une partie de pèche à pied, à la chasse aux étrilles.  Rien à voir avec de vulgaires bottes vertes avec ses gros crampons, non, ici c'est l'aristocratie de la botte ou tout se fait dans le feutré, le calme, entre gens de bonne éducations, sans cris ni bruits de fusils.</t>
  </si>
  <si>
    <t>Presque l'idéal ! Sensible, peu encombrant, économique, bien équipé d'origine ... sûrement un des meilleurs choix sinon le meilleur pour un DSLR, bridge ou camescope disposant d'une entrée micro en mini-jack 3,5 mm. Alimentation plug-in-power obligatoire, attention donc s'assurer auparavant que votre matériel la fournit. Attention à bien plaquer la bonnette à poils contre la lyre de suspension  (Rycote S.V.P. !), elle est imperdable mais si on ne prend pas cette précaution, elle risque ne pas couvrir les ouïes latérales de la tête micro. La suspension possède un filetage au pas de 3/8" ce qui permet de l'utiliser sur toutes les perches, toutefois avec quelques limites car pas d'articulation.</t>
  </si>
  <si>
    <t>Montre parfaite à mon goût Après deux ans d'utilisation, cette montre paraît aussi neuve qu'au premier jour. Esthétique remarquable, qualité des matériaux sans reproche. (Un souhait d'amélioration, que le dateur journalier tienne compte des mois à 30 et 31 jours)</t>
  </si>
  <si>
    <t>Top Modele plus adapté que mon ancienne g shock Awg m100b 1aer. Elle a une meilleur visibilité. De plus l'éclairage est bien au dessus. Cette montre est l'argement comparable avec les g steel pour beaucoup moins chere.</t>
  </si>
  <si>
    <t>Confort Pointure et confort Parfaite !</t>
  </si>
  <si>
    <t>Très bien pour le Tascam DR-05 J'ai hésité entre la version prévu pour le Tascam DR-05, mais en lisant les commentaires sur la difficulté à enfiler, j'ai préféré prendre la taille supérieure. Passe très bien avec un Tascam DR-05, pas de difficulté à enfiler et tien relativement bien.</t>
  </si>
  <si>
    <t>Super huile J'en ai acheté des flacons de cette huile pendant ma grossesse !! J'ai commencé à m'en mettre dès le 2ème mois, parano des vergetures que j'étais... Même si à priori aucune huile ne peut à priori empêcher d'en avoir chez certaines femmes, je pense que cela aide bien à assouplir la peau et cela ne peut donc que faire du bien. En tout cas pour ma part, je n'ai pas eu une seule vergeture. Je continue à m'en mettre de temps en temps car je la trouve très agréable.</t>
  </si>
  <si>
    <t>Superbe qualité Ce film alimentaire, c'est la qualité ultime : le film qui se fixe au récipient à couvrir et qui reste coller !! Lorsqu'on utilise du film alimentaire en restauration, on remarque assez bien la différence avec ceux vendus en grande distribution et même des marques les plus connues.  Je retrouve ici un film alimentaire de réelle qualité qui colle très bien aux plats et autres et c'est que je recherchais pour chez moi. La réglette ZIP est avantageuse, la découpe est très rapide et cela se passe sans s'énerver dessus.  Et vous en avez pour un moment! Le 1er rouleau a fait octobre 2014 à septembre 2016, le 2ème de septembre 2016 à novembre 2018! Nous en sommes donc au 3ème actuellement et je ne changerais pas de marque.</t>
  </si>
  <si>
    <t>Montre Très bien reçu</t>
  </si>
  <si>
    <t>CONFORME RAS</t>
  </si>
  <si>
    <t>Casio la référence des montres numériques Montre solide simple et précise</t>
  </si>
  <si>
    <t>Belke Pour un mariage</t>
  </si>
  <si>
    <t>Très joli bracelet pour femme Bracelet magnifique d'une finesse très élégante pour le prix je recommande vivement.... À réserver surtout pour les femmes relativement fines car niveau diamètre un peu petit pour les personnes un peu forte, je n'aurai jamais pu le porter si c'était pour moi</t>
  </si>
  <si>
    <t>jolie bouilloire esthetique et efficace J'avais besoin d'une bouilloire jolie pour préparer mon thé. Sa contenance de 1.8 L est idéale pour servir plusieurs personnes en un coup.  Elle est belle design , efficace et rapide. Elle chauffe entre 40 et 100 °C .Le contrôle de la température est visible sur un écran LCD. Elle a une option maintien au chaud en verre avec une jolie lumière LED bleue.  Article de qualité, en plus elle est bien silencieuse.  J’espère qu’elle me servira longtemps, à voir dans le temps.</t>
  </si>
  <si>
    <t>Nul Papier de mauvaise qualité par rapport à ceux que j ai l habitude d utiliser.  Soit je peine à l allumer et il s éteint constamment soit il brûle en totalité d un coup et ne produit aucune odeur</t>
  </si>
  <si>
    <t>article défectueux Mon ordinateur me dit que la cartouche est bien installée et dès que je lance une impression il commence à imprimer et à la moitié de la feuille , l'impression s'arrête et il met "Retirez et réinstallez la cartouche indiquée, en vous assurant qu'elle est bien installée." J'ai répété l'opération sans succès. Du coup, j'en ai acheté une autre et maintenant ça fonctionne. Donc déçue d'avoir perdu de l'argent et de jeter une cartouche neuve. Savez-vous s'il est possible de se la faire rembourser via Amazon ou HP ? Cordialement</t>
  </si>
  <si>
    <t>Sacs j'en ai recommandé ils sont solides les attaches fermeture aussi parfait pour ma poubelle de cuisine bons sacs poubelles je recommande</t>
  </si>
  <si>
    <t>Trop grand et pas d echange Basket étant trop grande échange impossible. Donc je me les ai jamais mise. Sinon belle aspect.</t>
  </si>
  <si>
    <t>PAS MAL DU TOUT Commandé avec appréhension, mais satisfaction à l'arrivée : ce sac n'est pas mal du tout. Assez grand comme je le voulais, beau, se tient bien ... Le compartiment central ferme avec une fermeture, les deux latéraux avec une pression aimantée. J'enlève une étoile pour la doublure intérieure plutôt cheap, qui fait un bruit de papier froissé, mais cela ne se voit pas et dans l'ensemble je suis plutôt contente</t>
  </si>
  <si>
    <t>Vendeur de confiance et très accessible Taille plus petit que le tableau mais compromis commercial avec le vendeur.</t>
  </si>
  <si>
    <t>Le naturel, c’est essentiel Une belle peau raffermie après l’argile</t>
  </si>
  <si>
    <t>Parfait Super feutres optimales pour des réalisations amusantes en famille. Jeu très ludique et parfaitement adapté à la jeunesse. Super activité</t>
  </si>
  <si>
    <t>Microphone En usage depuis 1 an fonctionne parfaitement</t>
  </si>
  <si>
    <t>Toujours aussi bien C'est ma troisieme paire - Gros usage duree moyenne 6 ans - confort - Goretex et Vibram pour les genoux</t>
  </si>
  <si>
    <t>Très satisfaite Très jolie collier en argent</t>
  </si>
  <si>
    <t>Parfaite ! très pratique le variateur sur le côté. Pas vérifié la "vraie" température. Bel objet qualitatif. La "passoire" est amovible et peut reposer dans un réceptacle dont le fond est en silicone très facile à nettoyer. Je conseille.</t>
  </si>
  <si>
    <t>Je ne peux plus m'en passer J'adore. Très confortable. Vraiment esthétique. Et super efficace. Je recommande à 100%</t>
  </si>
  <si>
    <t>Sac Très content de ma sacoche je peut le recommander à tout le monde</t>
  </si>
  <si>
    <t>Taille grand Grand</t>
  </si>
  <si>
    <t>Chaussures sport J'en avais déjà une paire depuis des années. Très confortables, tiennent bien la cheville. Les scratchs sont super. Pratiquement inusables....</t>
  </si>
  <si>
    <t>Parfait pour se détendre ou relâcher les muscles tendus !!! Sujet aux migraines, je compte sur le coussin de tête pour y remédier en partie. Je suis déjà adepte du tapis pour le dos et son effet est agréable et utile bien que tout sauf un remède miracle bien entendu. Le tapis apparait comme étant résistant, assez facilement transportable.</t>
  </si>
  <si>
    <t>À bon entendeur... Bonjour, j'ai sur les oreilles ce qui se fait de mieux, du moins en ce qui me concerne, dans le domaine de la restitution sonore, pour moi ce Casque déchire grave, c'est au-delà de tout ce que je pouvais espérer, en ce moment j'écoute Pink Floy, j'ai l'impression de les entendre pour la première fois, comment j'ai pu m'en passer jusqu'à maintenant, c'est tout simplement incroyable. Parlons du confort, il enveloppe parfaitement les oreilles, et les "coussins" sont en mousse à mémoire de forme, aucun son ne peut ni entrer ni sortir, c'est vraiment un super casque, je ne vous donnerais aucune info technique, tout ce que je peux vous dire c'est qu'il est puissant et j'ai vraiment du bol, il est pil poil à ma taille, je n'ai aucun réglage à faire et ça c'est plutôt cool, j'adore la couleur il est vraiment tel que je l'ai vu sur les photos de présentation c'est d'ailleurs ça qui m'a attiré, ensuite j'ai consulté quelques commentaires, en général, j'en regarde 4 ou 5, ils étaient tous favorables, je suis plus que satisfait par cette acquisition, en plus il est livré dans une très jolie boîte de couleur noir très mat dans laquelle ce trouve une petite sacoche en simili cuir à l'intérieur de laquelle se trouve le cowin SE7, un câble de charge usb, un câble jack +un adaptateur, y a aussi un petit adaptateur pour le brancher dans un avion, c'est ce que j'ai entendu en visionnant une vidéo, et ce que j'apprécie vraiment beaucoup c'est une notice en bon français, je suis sur que je m'en serais passé mais c'est rassurant, je pense avoir fait le tour de la question, il est aussi accompagné d'une garantie de 18 mois, j'en ai fini avec les câble qui s'accroche tout le temps et partout, plus d'une fois j'ai bien cru m'arracher les oreilles, je viens d'entrer dans une autre dimension, le vrai teste c'est pour demain, mais je sais déjà ce qui m'attend. Aujourd'hui je sais pourquoi j'ai longtemps hésité avant de passer au Bluetooth, ce matin encore je ne connaissais pas la marque cowin et pourtant... J'ai l' impression que ce Casque a été spécialement conçu pour moi ! Hier j'écoutais de la musique et aujourd'hui je l'entend ! Son prix peut sembler élevé mais je vous garantis qu'on en a pour son argent ! C'est donc avec plaisir que je vous recommande ce Casque Bluetooth cowin SE7 !</t>
  </si>
  <si>
    <t>Élégante Idéal  avec un jean.Elles sont un.peu brillantes  et surtout élégantes.</t>
  </si>
  <si>
    <t>Conforme a la description et surtout a une très bonne qualités se son Ce casque a une très bonne qualité se son et très facile a utiliser. Je le recommande on peut regarder des films sans mettre trop fort le son du téléviseur  ce qui fessait de l 'écho avant Très utile quand on a un certain age, depuis que jais ce casque  chacun règle le volume a son gout</t>
  </si>
  <si>
    <t>Adoucissant Très satisfait merci</t>
  </si>
  <si>
    <t>Envoi rapide et conformité du produit Bon prix</t>
  </si>
  <si>
    <t>Pas terrible Certains boutons ne fonctionnent pas vraiment, qualite mediocre</t>
  </si>
  <si>
    <t>très décevant Tout d'abord le câble est double et a tendance à s'entortiller ... Ensuite la puissance de restitution du casque est vraiment pas bonne. La source doit être à fond + la molette à fond pour entendre "normalement".  Je déconseille vivement !</t>
  </si>
  <si>
    <t>Ne fonctionne plus au bout d'une semaine. Ne fonctionne plus au bout d'une semaine. Modèle de poche intéressant mais ce produit n'est pas fiable. Dommage</t>
  </si>
  <si>
    <t>crayon de couleur castle art Ces crayons présentent l 'avantage d avoir une palette de couleurs très diversifiée ,ce qui manque a certaines marques. Travaillant avec beaucoup de marque de crayon de couleur différentes je dirai qu' il sont de qualité plutôt bonne mais rien avoir avec les marques haut de gamme .   L 'ensemble boite et crayon est jolie et sobre .</t>
  </si>
  <si>
    <t>graduations illisibles les graduations de volume sont mal placées.  Je tiens la bouilloire dans la main gauchche. Dans cette position les niveaux sont illisibles.  La petite grille du verseur est impossible à fixer...si on n'est pas spécialiste des  jeux de légo...Pourquoi faire compliqué?</t>
  </si>
  <si>
    <t>Bonne qualité De bonne qualité la semelle est solide taille 39 un peu grand mais avec une semelle sa devrait pas poser de problème</t>
  </si>
  <si>
    <t>Satisfaite Design dodu et sympathique Chauffage eau rapide il y a longtemps que je recherchais un modèle capacité inférieure à 1l</t>
  </si>
  <si>
    <t>Montre gousset Vu le prix, c'est très sympa</t>
  </si>
  <si>
    <t>Super doux ! J’ai utilisé cette bouillotte pour soulager mes douleurs de bas ventre ressentis après l’accouchement au cours de l’allaitement. La bouillotte est très grande et large donc la chaleur se diffuse sur une grande surface, le toucher est très soyeux, doux et apaisant. En revanche très forte odeur de latex qui persiste.</t>
  </si>
  <si>
    <t>Très bien De bonne qualité, pas de problème</t>
  </si>
  <si>
    <t>Bonne basket !! Très contente de mes baskets Vans ,je pense acheté les mêmes à mon fils mais avec Mario sur les côtés !!</t>
  </si>
  <si>
    <t>tres bien je lai achete car je suis arriere grand mere et tout les achats actuel c pour noel elle  a 2 ans</t>
  </si>
  <si>
    <t>Very good. Attention c’est chaud. Ça chauffe fort, ça chauffe vite, c’est fiable et même pas moche. Je vous souhaite un bon thé.</t>
  </si>
  <si>
    <t>Produit livré très rapidement Envoi rapide et soigné, je recommande.</t>
  </si>
  <si>
    <t>bien pratique Cette petite pochette est bien pratique. elle plait beaucoup à mon copain qui peut y mettre un portefeuille plutôt grand, son téléphone portable et ses clés très facilement. C'est parfait pour les rando pour alléger les poches du pantalon. Les fermetures fonctionnent bien . les poches sont rembourrées ce qui est une sécurité supplémentaire contre les coups ou la pluie. Les bandoulières sont fonctionnelles et assez sures (bon je n'aime pas la bandoulière sac banane mais chacun ses goûts) . En tout cas ce petite sac est bien pratique .. il est peut être petit mais permet de n'avoir que l'essentiel. en plus sa couleur noir renforce une certaine discrétion</t>
  </si>
  <si>
    <t>Conforme a ce qui est indiqué Conforme a ce qui est indiqué</t>
  </si>
  <si>
    <t>Converses grises Super livraison rapide soignée et parfaite mes chaussures sont au top et à la taille qu'il faut ! Tout Ca à un prix correct</t>
  </si>
  <si>
    <t>Excellent produit Excellent produit. L'isolation est très bonne et la bouteille pleine garde une boisson très chaude plus de 4 heures, contrairement à beaucoup de thermos bon marché. Je n'ai pas remarqué de difficulté particulière avec l'ouverture ou la fermeture du capuchon à visser.</t>
  </si>
  <si>
    <t>Parfait pour le sport Écouteur parfait pour le sport et très confortable</t>
  </si>
  <si>
    <t>Impeccable Génial rien a dire</t>
  </si>
  <si>
    <t>cartouche les cartouches canon sont de bonnes qualite. je les prends tout le temps sur ce site. envoi rapide</t>
  </si>
  <si>
    <t>Très beau bijou Très beau produit, livré dans une boîte très chic et qui est lui-même très chic. Les reflets sont magnifiques et il est tout discret et cependant on ne voit que lui. Ma mère en est ravie.</t>
  </si>
  <si>
    <t>Envoi très rapide, merci Envoi très rapide, merci</t>
  </si>
  <si>
    <t>Rapide Conforme à la description faite du vendeur.Je recommande.</t>
  </si>
  <si>
    <t>Tient très bien la tête Le casque est top ! J'aime vraiment beaucoup la réduction du bruit, surtout dehors c'est impressionnant! Le son est très très bon, et ne perd pas en qualité même en montant très haut. Le casque en lui même est super confortable, à en oublier qu'on le porte!</t>
  </si>
  <si>
    <t>Très decu Semelle vite usée et cuir vite fendu. Beaucoup trop cher pour une qualité devenue si médiocre. L'entreprise s'assoit sur sa marque qui ne vaut plus rien.</t>
  </si>
  <si>
    <t>déçu Livraison et taille: aucun problème. Mais... J'ai acheté longtemps des bottines Lévi's avant d'essayer d'autres marques. J'ai voulu réessayer Lévi's. Grosse déception, ce seront mes dernières.  L'aspect des chaussures est conforme mais grosse déception quant à la qualité. Une semelle très "plastique", des fausses-coutures, un intérieur qui m'a fait mal et provoqué des ampoules dès la première utilisation, surtout au niveau du talon. Pour un prix [d'origine] de 140 euros, il vaut mieux rajouter 50 euros et avoir un cuir &amp;amp; une finition / qualité tip-top par exemple chez h by-Hudson (j'utilise une paire de cette marque depuis 5 ans...)  plutôt que de dépenser entre 100 et 140 euros dans des bottines qui n'en valent pas plus de 70.</t>
  </si>
  <si>
    <t>A fuir ! A fuir! Reçue début juillet ... début août la chaîne est noire !!! Il ne s’agit pas d’argent 925 sterling !!! Du plaqué argent tout au plus et encore ! Très déçue !</t>
  </si>
  <si>
    <t>Bon produit J'utilise l'oreillette tout les jours pour mon travail, l'autonomie est excellente et le son est bon, par contre elle me fait très mal à l'oreille, la sortie est trop large.</t>
  </si>
  <si>
    <t>kdo môman Difficile de choisir une paire de chaussure quand ce n'est pas pour soi. Et pourtant, je l'ai fait ..... à une demi taille près. Petite semelle à rajouter et le tour est joué. A moins, pour mon prochain achat New Balance, je connais la pointure. Tres belle couleur</t>
  </si>
  <si>
    <t>Rode SC4 Parfait pour la prise de son sur un Samsung A5 à partir d'un micro ou bien connecté à une table de mixage sur une sortie out. Petit bémol, le câble est un peu fin d'où une fragilité apparente. C'est exclusivement pour cette raison que je ne mets que quatre étoiles. Livraison très rapide et emballage correct.</t>
  </si>
  <si>
    <t>Pratiques Parfaites</t>
  </si>
  <si>
    <t>Très Bien pour ceux qui aiment les massages énergiques Ayant des problemes de cervicales j' ai décidé d'acheter ce masseur. Il est dur et fait assez mal. Je ne l'utilise pas souvent car trop dur pour moi. Pour les personnes aimant les massages énergiques cet appareil est parfait.</t>
  </si>
  <si>
    <t>Légèrement différent La matière et l'élasticité sont légèrement différents de l'ancien bracelet de ma Vector. Du coup, la boucle se libère plus facilement. Sinon, la qualité des matériaux est tout à fait comparable et les vis sont bien founis.</t>
  </si>
  <si>
    <t>Très bien Conforme à la description. Bon rapport qualité prix</t>
  </si>
  <si>
    <t>Avis Super confortable</t>
  </si>
  <si>
    <t>ok jolie montre bien lisible pour un homme agé,mais le bracelet est dur au départ , trop rigide enfin le cadeau a fait plaisir</t>
  </si>
  <si>
    <t>Très bonne qualité Je n'ai à ce jour aucun problème avec l'objet, bien au contraire, il rempli sa mission parfaitement et le rapport qualité prix est bon.</t>
  </si>
  <si>
    <t>Super 👍 Super produits, pratique</t>
  </si>
  <si>
    <t>parfait Rien a redire</t>
  </si>
  <si>
    <t>Nikel Rien à dire impeccable</t>
  </si>
  <si>
    <t>Baskets black Hammer Pour mon travail en pharmacologie super produits je suis vraiment content de mon achat</t>
  </si>
  <si>
    <t>Parfait Légères confortables parfaites</t>
  </si>
  <si>
    <t>A acheter Magnifique comme sur la photo n'esitez pas. Il est brillant bijoux au milieux très beau discret un peu petit à mon goût</t>
  </si>
  <si>
    <t>Montre pas cher Tres belle montre, rien à dire qualité prix</t>
  </si>
  <si>
    <t>Beau petit pull Super pull Ne pas attendre la qualité la plus Folle pour les motifs mais très bien compte tenu de son prix.</t>
  </si>
  <si>
    <t>super sent très bon !! je conseille c'est frais!!</t>
  </si>
  <si>
    <t>Parfait Tout a fait parfait pour protéger ma carte grise, très rigide et de bonne facture. Rien a redire sur ce produit =)</t>
  </si>
  <si>
    <t>paire de chaussures tout-terrains, parfaite pour les loisirs en exterieur voici en substance les retours que ma compagne a formulé concernant ces Columbia Redmond V2 Mid WP, Chaussures de Randonnée Hautes Femme, Noir, Black Ch, 40 EU: ce sont des chaussures confortables, avec un bon amorti, que ce soit sur terrain plat ou rocailleux. pour aller sur les rochers, elles sont résistantes. la matière est respirante sans que l'on ait pour autant les pieds mouillés. le design est assez féminin pour de grosses chaussures de randonnée. bref, elle en est satisfaite.</t>
  </si>
  <si>
    <t>Short J'ai pas reçu la pochette de transport qui devrait normalement être dans la boîte sinon après 1ère séance de 3x20 min consécutive j'ai ressenti des petite douleur musculaire le lendemain donc pour le moment je suis pas en mesure de vous dire ce que vaut le short</t>
  </si>
  <si>
    <t>Doit etre bien pour le S voir M pas plus Acheter en XL 42 La taille haute nest pas le cas meme si je veux le remonter il redescend aussitot vu que la matiere est lisse et elastique Un peu decus mais bon jen avais besoin je le garde. Doit etre top pour celle qui mettent du S voir M pour le niveau taille haute sinon laissez tomber</t>
  </si>
  <si>
    <t>Mitigé Je ne pense pas que ca est un réel effet que les coliques...</t>
  </si>
  <si>
    <t>Trop grand Modèle taille grand et si comme moi poitrine généreuse attention car coque dans soutien gorge</t>
  </si>
  <si>
    <t>Fonctionne bien Globalement pas mal, en tout cas ma femme en est ravi. Attention pas adapté pour les voyage au vu de la taille, le format n'est pas compact mais on le savait.  Les plus:  - Efficace  - Embout très doux et facile à laver  - Les différents programmes  - La tête qui pivote légèrement pour s'adapter  Les moins:  - Un poil bruyant en fonctionnement "normal"  - Très bruyant en fonctionnement "maximal"  - La connectique au niveau du chargeur qui fait un peu "cheap" à voir ce que ça donne dans le temps  - La house de rangement de qualité très moyenne (poubelle en ce qui me concerne)  - Pas de chargeur secteur, uniquement le câble USB</t>
  </si>
  <si>
    <t>Le casque de Sauron Je suis plutôt fan du "son Bose", qui se veut un son plutôt "réaliste" et non ultra typé. J'ai adoré ce casque ! Déjà par son format : il est tout petit, et une fois plier intelligemment dans son étui il se glisse partout de façon protégée. Il est très léger et du coup il n'entraine aucune fatigue. L'appairage est ultra simple et surtout il se fait avec plusieurs appareils. En effet, appairé avec un smartphone Android, un iPhone, un Mac, ... dès que l'un des appareils émet un son, il bascule sur le casque. C'est assez magique. Bon de temps en temps il faut "forcer" la connexion, mais c'est plutôt rare, et surtout lors d'un appel sur un téléphone alors que j'écoutais de la musique depuis un autre appareil, je n'ai jamais manqué un appel. La connexion s'est toujours faite. D'où le titre de mon commentaire : "le casque de Sauron" en référence à l'anneau de Sauron du Seigneur des Anneaux et au fait que ce casque permet de réunir tous mes appareils bluetooth ! C'est super appréciable. Un point positif complémentaire : c'est un des rares casques où mes interlocuteurs, durant un appel téléphonie, me disent qu'ils m'entendent très très bien. Et pourtant j'en ai essayé des casques bluetooth !  Alors pourquoi retirer une étoile ? Par rapport à la qualité. Certes là le casque est tout joli tout beau, mais cela ne durera certainement pas. Par exemple mon premier Quiet Confort, acheté aux US, s'est brisé à la 5ème utilisation (casque à 400€ à l'époque) à cause d'un plastique trop fragile. Mais cela date ... le pire c'est le prédécesseur de ce caque que j'ai eu il y a 2 ans (maxi) et dont les cousins finissent pas se disloquer avec le temps.  C'est vraiment dommage que ces casques ne tiennent pas la distance, car le son est vraiment très bon, ce modèle est une perfection en déplacement urbain par sa légèreté, l'usage en communication est exceptionnel (dixit mes interlocuteurs) et l'appairage à de multiples appareils permet une utilisation vraiment ultra confortable.</t>
  </si>
  <si>
    <t>Puma Bon produit , la photo correspond bien au produit ! Les coutures sont propre , la pointure et adapter comme prévue ! Idéal pour la plage comme la piscine !</t>
  </si>
  <si>
    <t>Robuste, belle, fonctionnel Je l'utilise très souvent. Cette sacoche est très pratique. N'y trop grande, n'y trop petite. Elle à un look incroyable. Les couleurs de l'automne. Elle vas avec toute sorte de vêtements. Elle est très pratique. En plus cette marque la à fait ces preuves.</t>
  </si>
  <si>
    <t>Très bon achat !! Génial !!! Trop beau et belle qualité ! J'adore !! ❤️❤️❤️</t>
  </si>
  <si>
    <t>Le meilleur des chauffe  biberons Le top des chauffe biberons Je l'utilise en mettant de l 'eau chaude et quand je fait le biberon je met moitié eau chaude moitié eau en bouteille et c est nikel L'eau reste  chaude quasiment toute une nuit Vraiment hyper pratique</t>
  </si>
  <si>
    <t>Basket Les baskets sont confortables et de bonne qualité ! Bon rapport qualité prix ! Je suis très satisfait. 😊</t>
  </si>
  <si>
    <t>Bon produit Contenu de la boite : - Un flacon de 170 ml de produit pour nettoyer vos bijoux en or, platine, diamants, saphirs, rubis - Un panier pour poser les bijoux dans le bain de produit (inclus dans le pot) - Une petite brosse pour nettoyer les bijoux  On apprécie la simplicité avec laquelle on nettoie les bijoux, on pose les bijoux dans le panier, on remue, on laisse agir 2 minutes, on frotte avec la petite brosse, on rince à l’eau tiède et on essuie avec un chiffon doux ou avec une chamoisine,  Le produit est agréable à utiliser car il sent bon, le panier est assez grand pour y nettoyer plusieurs bijoux en même temps. Il faut savoir qu’après ouverture du flacon, le produit reste efficace 12 mois.  Le résultat est satisfaisant, les bijoux brillent, on s’aperçoit qu’ils étaient finalement bien sales lorsque l’on voit l’état de la chamoisine avec laquelle on les essuie, elle est pleine de trainées noires.  Très bon rapport qualité/prix, simple d’utilisation, agréable à utiliser et efficace alors sans hésitation, je recommande ce produit.</t>
  </si>
  <si>
    <t>Élégant, bel écrin Joli bracelet commandé pour offrir, reçu dans un bel écrin. Elegance et finesse.</t>
  </si>
  <si>
    <t>parfait mais un peu punk rire bien mais emande une petite coupe de cheveux a l avant  apres le placement sur le micro car sinon  apparition de poils  sur votre film car trop long poils rire  coté Amazon c est parfait , gens tres sérieux</t>
  </si>
  <si>
    <t>Montre lourde et tres belle sinon parfait Bonjour recu rapidement et prix tres corect pour loffrir a mon beau pere il a ete tres content et c une tres belle monte je recommande se produit sans hesitation vraiment jolie montre un peut lourde sinon mes trop trop jolie pas decus</t>
  </si>
  <si>
    <t>Parfait Conforme à la description</t>
  </si>
  <si>
    <t>Très bon et pas cher J'ai eu un petit doute en voyant le prix, mais en réalité ce papier aluminium est de très bonne qualité.</t>
  </si>
  <si>
    <t>Bon achat Agréablement surprise, la qualité est bonne et la taille choisie  XL suivant les conseils du vendeur me convient( je fais  un 95D  avec 78 cm de tour de poitrine sous les seins). Pour dormir je choisirai une taille plus grande pour plus de confort. Voilà j'espère que cela servira aux futures clientes!</t>
  </si>
  <si>
    <t>Excellente qualité Bonne qualité, bon service</t>
  </si>
  <si>
    <t>Qualité de son &amp;amp; confort J'avais un Audio Technica ATH-M50 avant, et là on est clairement sur un produit du même niveau de qualité, voir un cran au dessus. L'encombrement est un problème, le casque est vraiment énorme et je ne m'imagine pas me balader avec. Des basses un poil trop présentes pour un casque de monitoring mais cela reste largement acceptable. Attention, même si il s'agit du casque le plus fermé de la gamme DT de Beyerdynamic, on est en fait sur un casque semi-fermé et l'isolation est trop légère à mon gout. Niveau confort, il tient un peu chaud mais c'est clairement un des casques les plus confortable que j'ai pu essayer.</t>
  </si>
  <si>
    <t>❉ Un joli collier scintillant à porter en toutes circonstances ❉ Ce pendentif collier est ma deuxième commande de la marque B tacher chez qui j'avais apprécié la finesse du bijou et ses finitions. Celui-ci a une forme originale totalement différente. Les arcs sont rehaussés de brillants et il comporte un beau cristal central bien enchâssé, qui ne bouge pas, et qui lui donne un fini très agréable à l’œil.  Je n’ai pas hésité une seconde à l’acheter car je le trouve très esthétique, fin et gracieux, pouvant accompagner n’importe quelle tenue qu’elle soit habillée ou décontractée. Son prix est, par ailleurs, très compétitif par rapport à d’autres marques.  B-tacher fait de plus l’effort de livrer ses bijoux dans un écrin cartonné noir qui permet de le ranger proprement et, bien sûr, de l’offrir. Le tout est bien protégé par un film plastique (écrin et collier à l’intérieur).  Ce bijou en argent 925 est fin, gracieux, bien fini, la petite chaîne qui l’accompagne est élégante, j’en suis très contente. Son prix tout à fait compétitif permet de se faire plaisir sans se ruiner ou de l’offrir tout simplement grâce à sa belle allure et son packaging agréable.</t>
  </si>
  <si>
    <t>Déçu Je n'avais lu que des commentaires très élogieux sur cette montre, je l'ai donc commandé. J'ai vraiment été déçu. Ecran "couleur" de très mauvaise qualité et tout petit. Je m'explique, ne croyez surtout pas les images que vous pourriez voir sur les pubs, la résolution est médiocre, la luminosité plus que limite et le contraste faible. Suunto serait resté sur du monochrome, la qualité aurait été meilleure. Je ne vois pas comment avec cette faiblesse, on peut afficher 5 ou 6 paramètres et les voir clairement lorsque l'on coure. Deuxième point rédhibitoire pour moi : Suunto movescount. Il est impossible à partir de l'interface web de planifier des sorties précises et détaillées. On ne peut qu'indiquer le type de sport, la difficulté et la durée et voilà tout. Ce n'est que lorsque la séance est terminée et uploadée sur l'appli qu'il est alors possible de rentrer dans le détail ! Une planification fine avec fractionné, temps de repos et enchaînement n'est donc pas possible à l'avance. Comme il n'est pas possible de créer un programme complet avec tous les détails dont je parlais plus haut. Ou alors la créer sur la montre, je vous laisse imaginer le temps nécessaire pour une sortie un peu complexe. Enfin, sur la partie connectée, c'est super d'avoir les notifications du téléphone mais elle ne reste pas à l'écran si on ne les lit pas ! Elle disparaissent donc au bout de quelques instants et si on l'a loupé ben tant pis ! Autant ne pas proposer ce genre de fonctionnalités ! Voilà, à part ça, c'est une belle montre discrète qui offre beaucoup un bon GPS et un cardio de qualité à priori. Comme vous l'aurez compris, je n'ai pas eu l'occasion de tester ces fonctionnalités principales, je l'ai retourné illico.</t>
  </si>
  <si>
    <t>Article trop petit,politique de retour nulle J'ai commandé ce polaire,mais taille trop petit car la taille M correspondant aux normes européennes ne sont pas respectées, aussi prévoyez 2 tailles voir 3 tailles au dessus. Dingue. J'ai donc demandé un retour pour avoir le polaire en taille au dessus. IMPOSSIBLE car ils préfèrent que vous le gardiez,le revendiez vous même ,en contre partie, faut faire une commande chez eux et vous bénéficiez d'une réduction de 15,30 voire 40 %si vous insister pour le retour de l'article. Pas de remboursement possible même si les frais sont à votre charge. Pas sérieux du tout, s'abstenir ,ou alors faut ressembler à des crevettes et tout va bien .</t>
  </si>
  <si>
    <t>Il doit y avoir un problème avec la pile Ne fonctionne pas</t>
  </si>
  <si>
    <t>Parfait confortable Très confortable</t>
  </si>
  <si>
    <t>Robe Joli un peu grand mais avec un débardeur en dessous l'affaire est joué</t>
  </si>
  <si>
    <t>Produit tres sobre du puma tout simplement</t>
  </si>
  <si>
    <t>Bonne qualité Impeccable niveau taille et qualité</t>
  </si>
  <si>
    <t>les images sont belles ! je trouve que les images sont très belles mais je trouve le livre pas assez pointu pour l'age indiqué on n'apprend pas grand chose .ça ne mérite pas le titre d'encyclopédie à mon avis</t>
  </si>
  <si>
    <t>Prévenir de les laver à la main la première fois.. Très confortable..par contre le rouge doit être laver seul car il déteint énormément..sa ma bousiller 2 pull....</t>
  </si>
  <si>
    <t>Adaptateur pour enceinte Bose Livraison rapide. Adaptateur complet pour enceinte Bose. Bien emballé.</t>
  </si>
  <si>
    <t>Sophistiqué, pratique, longue batterie On m'avait offert des écouteurs sans fils de marque à Noël passé, mais pas comme ceux-ci car un fil reliait les deux écouteurs. La personne me les ayant offert pensait bien en m'offrant des écouteurs de marque, et je le comprends, mais 1 an plus tard, la batterie est HS et les écouteurs ne tiennent pas la charge. Obligé d'écouter avec le câble usb branché en permanence, pratique pour des écouteurs sans fil. Du coup j'en ai profité pour acheter des écouteurs plus sophistiqués et inspirés de tous les écouteurs récents (comme les AirPods). Je ne suis pas déçu du tout. Le petit boîtier permettant de transporter les écouteurs est compacte et fait office de batterie. Je n'ai pas eu besoin de recharger le socle une seule fois depuis que j'ai les écouteurs. Le son est bon, sans être exceptionnel. Ce sont des écouteurs et non un casque à plusieurs centaines d'euros. Largement suffisant pour mon usage et pour écouter mes podcasts le soir dans le lit ou dans les transports. Ils sont très discrets et tiennent bien en place. Le socle est aimanté de qui permet de pouvoir remettre les écouteurs en place les yeux fermés (pratique la nuit). Seul bémol, ils émettent une lumière en permanence, qui est certe légère, mais tout de même dérangeante pour le partenaire la nuit</t>
  </si>
  <si>
    <t>Magnifique Magnifique, MERCI</t>
  </si>
  <si>
    <t>BEAU bracelet très beau  et très bien pour l'instant, je le porte depuis 3 semaines</t>
  </si>
  <si>
    <t>Absolument rien à reprocher. Je chausse du 40 et contrairement à ce que j'ai lu, la taille correspond absolument à celle annoncée, ni trop juste ni trop grande. Très bien rembourrés et chauds, il ne me reste plus qu'à attendre ce que ça donne dans le temps (je viens de les recevoir).</t>
  </si>
  <si>
    <t>Qualité prix Pour le prix, rien à dire, qualité , légèreté finition. La taille est bonne . Pour l’été c’est très bien</t>
  </si>
  <si>
    <t>Jolies cartes Cartes en anglais mais conforme a la photo. Jolies couleurs. Rien a redire</t>
  </si>
  <si>
    <t>Sacoche spaher C’est un bel article bien doublé  en cuir  grandeur parfaite  finition au top je recommande rien à dire de plus</t>
  </si>
  <si>
    <t>Livre incontournable !!! Génial Super livre !!! Inspirant pour toutes les petites filles qui veulent et doivent croire en leurs rêves ! Ce livre raconte les parcours de 100 femmes aux destins extraordinaires. À offrir tant aux filles qu'aux garçons.</t>
  </si>
  <si>
    <t>COLLIER TRES BIEN ET JE SUIS CONTENTE MERCI</t>
  </si>
  <si>
    <t>Parfait Très mignon pour nos petits jumeaux!!! Pratique à l'usage et de bonne qualité. La marque est vraiment bien...Après c'est un biberon...</t>
  </si>
  <si>
    <t>Confortable Super belles, taille très bien Avec les sortes de coussins d'air la marche est super confortable</t>
  </si>
  <si>
    <t>design et performance a part le fil qui est un trop court ce qui oblige d avoir une prise a proximité immédiate une superbe bouilloire. tre peu bruyante et tres rapide. le design en plus. le prix ce justifie par la qualite du produit.</t>
  </si>
  <si>
    <t>au top Parfait</t>
  </si>
  <si>
    <t>pas terrible douleur a la voute plantaire, et le pied chauffe dans ce model ... dommage elles sont belles bien pour porter 4h maxi</t>
  </si>
  <si>
    <t>AMAZON .... Neuf n'est pas RECONDITIONE Plus je commande chez Amazon ....plus je me retrouve avec des articles reconditionné .... A savoir packaging OUVERT .... et produit visiblement testé...par d'autre utilisateur... Je trouve ça trompeur de la part d'AMAZON ..... J'aurais aimé pouvoir profité de ces écouteur mais la .... si je recommande avec quoi ....vais-je encore me retrouvé :( très déçus</t>
  </si>
  <si>
    <t>Ne fonctionne pas Bonjour, une seule oreillette fonctionne Ce n'est pas normal pour un produit neuf</t>
  </si>
  <si>
    <t>Mauvaise article Article très jolie mais pas de bonne qualité</t>
  </si>
  <si>
    <t>Mon avis Bonne chaussures , mais lourde et surtout n'oubliez pas les grosses chaussettes</t>
  </si>
  <si>
    <t>Conforme Belle bouilloire bonne qualité. Chauffe rapide avec réglage de température</t>
  </si>
  <si>
    <t>Bien Ras</t>
  </si>
  <si>
    <t>Bouilloire sympa Tbien, bon rapport qualité prix.</t>
  </si>
  <si>
    <t>fiabilité humidification</t>
  </si>
  <si>
    <t>Chaussures de rando nickel Chaussures de randonnée adaptée aux marches tout terrain</t>
  </si>
  <si>
    <t>Superbe réussi !!!! Ceux que j'ai aimer sur produit ont peut les avec un Jean et blazer !! Classe !!</t>
  </si>
  <si>
    <t>la confiance cadeau anniversaire</t>
  </si>
  <si>
    <t>Une bonne acquisition Tout à fait conforme à mes attentes. Ce thermomètre est précis tant à l'intérieur qu'à l'extérieur. Pour celui de l'extérieur je conseille de le mettre à la abris de l'eau. La livraison Amazon toujours au top.</t>
  </si>
  <si>
    <t>Excelent !!! Ravie de cet achat, je voulais la version 4 pour une connection rapide avec ma TV Génial, et très rapide d"installation. Superbe qualité de son et l'utilisation des touches sur l'écouteur du facilité.  JE VOUS LE CONSEIL LES YEUX FERMES !!!</t>
  </si>
  <si>
    <t>c'est tres bien! Livraison rapide Produit de tres bonne qualite.La taille bien et ca tient chaud. confortable et doux.</t>
  </si>
  <si>
    <t>Au top! Parfait, des converse simple et toutes mignonnes! Juste comme pour toutes les converses prendre une pointure en dessous de votre pointure habituelle</t>
  </si>
  <si>
    <t>Top Très joli comme cadeau</t>
  </si>
  <si>
    <t>Super ! Belles bottes j’ai pris une demi pointure en plus et c’était parfait !</t>
  </si>
  <si>
    <t>Pas cher pour des originaux Livraison rapide , pas cher par rapport aux magasins , satisfaite .</t>
  </si>
  <si>
    <t>boucles d'oreilles elles sont magnifiques mille mercis</t>
  </si>
  <si>
    <t>Blouson J'ai déjà acheté ce blouson en noir et je l'ai trouvé tellement bien que j'en ai racheté un en rouge exactement le même au niveau de la taille comme j'avais déjà mis sur l'autre annonce il faut qu'on ait un petit peu plus grand après je le savais déjà car ce genre de produit taille jour un peu petit sinon pour le prix il est vraiment super</t>
  </si>
  <si>
    <t>Pour le prix elles me conviennent C'est la deuxième fois que j'achète ces baskets, elles sont confortables et avec un jean elles sont parfaites je les recommande</t>
  </si>
  <si>
    <t>Impeccable Produit esthétique et ergonomique dans son ensemble. Bébé n'a pas de difficultés à prendre son biberon, très bien adapté à la morphologie des mains des tous petits. Six Biberons sont envoyé de 3 tailles différente avec chacun une tétine qui permet à bébé d'avaler un minimum d'air avec son repas. Un très bon produit pour les jeunes parents que je recommande fortement.</t>
  </si>
  <si>
    <t>un effet incroyable un effet incroyable, les premières minutes sont un peu inconfortable mais il faut absolument persister car la suite n'est que du bonheur.</t>
  </si>
  <si>
    <t>Scotch qui ne colle pas Acheté pour emballer les cadeaux de Noel j'ai eu la surprise d'avoir a recoller plusieurs fois les paquets qui s'ouvraient très rapidement après avoir été fait. Pensant que c'était un problème du premier rouleau je l'ai changé...tout pareil, il ne colle pas non plus le plastique. Il doit coller le papier "classique" en tout cas je l'espère car si ce n'est pas le cas il s'agit d'un scotch qui ne colle rien...</t>
  </si>
  <si>
    <t>Bracelet Très déçu des bracelets Ce sont casser au bout d’une semaine, vêlent pas solide du tout. Je ne conseille pas d’acheter ce produit !</t>
  </si>
  <si>
    <t>Livré mais sans écouteurs Écouteurs absents de la boîte !</t>
  </si>
  <si>
    <t>Tout juste au niveau de la taille Si le plastique parait de bonne qualité la carte grise y rentre en force. Si en plus elle a quelques années, ce qui justifierait de tel achat, vous avez un risque de détérioration lorsque vous la rentrez à l'intérieur ou lorsque vous la sortez pour le contrôle technique par exemple.</t>
  </si>
  <si>
    <t>Taille petit Surpris de la texture agréable pour un xl trop juste 1,87 m 100 Kilos , au niveau des bras mon fils plus fin juste aussi .</t>
  </si>
  <si>
    <t>Produit conforme Article conforme à la photo. La taille est conforme à la taille demandée, la couleur est également conforme. Rien à redire</t>
  </si>
  <si>
    <t>Bien Bon lot. Pratique avec la boîte pour les ranger. Un petit goupillon pour les nettoyer n'auraient pas été de trop.</t>
  </si>
  <si>
    <t>Satisfait Satisfait</t>
  </si>
  <si>
    <t>Excellente bouilloire qui ne brûle pas les doigts Produit de qualité, le renfort caoutchouté sur toute la hauteur rajoute de la sécurité : on ne se brûle pas par erreur en laissant trainer ses doigts ou sa main près de la bouilloire posée sur une table. Je recommande.</t>
  </si>
  <si>
    <t>conforme bon rapport qualité-prix</t>
  </si>
  <si>
    <t>Très bon crayons de couleur J'ai acheté ces crayons pour avoir une large gamme de couleur et je n'ai pas été déçu. La mine est assez grasse et ne casse pas facilement donc c'est parfait pour colorier. La boîte contient 3 étages de crayons de couleur que l'on peut soulever grâce aux élastiques sur les côtés et les crayons sont numérotés. C'est très pratique.</t>
  </si>
  <si>
    <t>Converse all star Bjr et merci Très contente de ma commande c est exactement ce que je voulais magnfiques C est parfait bravo à bientot</t>
  </si>
  <si>
    <t>Très bien Très bon. Produit</t>
  </si>
  <si>
    <t>Parfait Rapport qualité/prix : excellent ! Très jolie montre et qui malgré le prix ne fait pas du tout breloque</t>
  </si>
  <si>
    <t>Douceur Quand on enfile cette robe sweat, on a plus envie d'en sortir tellement elle est confortable, douce et bien chaude grâce à son intérieur tout molletonné ! Elle taille assez large, modèle oversize. Je recommande pour l'hiver qui arrive.</t>
  </si>
  <si>
    <t>Un super leggings qui taille bien J'ai un peu galéré avec les leggings avant, qui m’étaient tous soit trop larges au niveau de la taille, soit trop tendus au niveau des hanches. Celui-la m'habille parfaitement. Tres jolie couleur, matière douce, fine et extensible. J'ai rapidement commandé un deuxième !</t>
  </si>
  <si>
    <t>Casque / casque Bluetooth avec station de charge Casque Bluetooth avec une station de chargement portable. J'aime vraiment ce casque. Il suffit de charger la base noire, qui peut également servir de rangement pour vos écouteurs, afin que vous puissiez les transporter avec vous. La connexion Bluetooth à un casque est très simple et rapide. La qualité de l'écoute, la qualité sonore est très bonne, je suis très satisfait. Je crains que les écouteurs ne tombent pendant l'exercice physique, mais finissent par tomber et soient bien ajustés aux oreilles. Je suis très satisfait de cet achat! ! !</t>
  </si>
  <si>
    <t>Enfin une bonne colle Super</t>
  </si>
  <si>
    <t>Déjà conquis! Très beau biberon,  solide et bonne prise en main ! Reçu dans les délais!</t>
  </si>
  <si>
    <t>PARFAIT Depuis longtemps je cherchais un bon soutien gorge de sport pour ma poitrine volumineuse et j'entendais beaucoup parler de la marque Anita. J'ai donc voulu essayé et je ne suis pas déçu! Ce modèle (le momentum) est parfait. J'ai commandé ma taille habituelle et ça va très bien. Le soutien gorge est bien fait: l'intérieur des bonnets est très doux; les élastiques des bretelles et du dos ne grattent pas et n'entament pas la peau; l'élastique sous la poitrine ne roule pas; il absorbe bien la transpiration (désolé pour ce détail mais ça compte car on fait du sport!). Quant au maintient c'est juste super. Vraiment, je vous le recommande!</t>
  </si>
  <si>
    <t>Parfait Très bon XLR. Utilisé pour relier un processeur audio a un amplificateur professionnel, le son est nickel. Aucun souffle et il a l'air solide. Content de mon achat</t>
  </si>
  <si>
    <t>Top Très pratique et facile à nettoyer.</t>
  </si>
  <si>
    <t>R.A.S. Fait le job sur un Samson Meteor Mic quoi de plus à dire sur une bonnette. Elle n'a pas déchiré lors de l'installation et la mousse semble "généreuse" Je suis satisfait</t>
  </si>
  <si>
    <t>Appareil TRES BRUYANT Cette bouilloire émet un bruit très important , couvrant très largement le son de la radio ou de la télévision. On a véritablement l'impression qu'elle va décoller sans en connaître la cause !... C'est incompréhensible...Bien qu'elle chauffe bien et vite, j'ai décidé de revenir à ma vieille bouilloire !...</t>
  </si>
  <si>
    <t>Extrêmement Déçu Extrêmement déçu de ces Tongs, l'attache droit vient de me lâcher. À la lecture des commentaires il semble que c'est un vice de fabrication ou un défaut caché.Mes Tongs Timberland avaient tenu Cinq Ans.</t>
  </si>
  <si>
    <t>Correcte Bonne paire d'écouteurs, met du temps à arriver comme tt les produits venant d'Asie, et pour le moment (2 mois d'utilisations) rien a signaler tout fonctionne comme les écouteurs d'origine  UPDATE 15/02/2017 : Les écouteurs ne fonctionnent plus, du coup ils auront tenu 4 mois, pour le prix ils m'ont bien été utiles mais je ne recommanderais plus ce produit.</t>
  </si>
  <si>
    <t>PAT 89 TAILLE AU DESSUS  TAILLE L EGAL XL</t>
  </si>
  <si>
    <t>Correspond Je fait une taille 39 alors j'ai pris la taille 39/42 les chaussettes sont un peu grande</t>
  </si>
  <si>
    <t>Bon produit Super casque avec un bon son pratique et léger rien à y redire 👍 bon rapport qualité prix et tres bonne qualité</t>
  </si>
  <si>
    <t>excellent produit, avec quelques défauts Pour imprimer facilement ses photos, il est parfait, toutefois, quelques points négatifs existent : - l'impression depuis un ordinateur peut poser des problèmes, notamment depuis le MacOs, ou le format d'impression n'est pas bien pris en compte - les photos avec des noirs profonds ne seront pas imprimés avec suffisamment de contraste, cela est du au procédé par sublimation qui il me semble, ne donne pas assez de contraste a cause de sa colorisation en mode RGB. Un noir de soutien serait sans doute le bienvenu. - le consommable est finalement plutôt bon marché, mais dommage qu'il ne soit pas écologique.. après utilisation, il n'y a pas de programme de recyclage prévu, et les cassettes sont toutes en plastique...</t>
  </si>
  <si>
    <t>Légères Plus grande que je ne pensais mais jolie et légères.</t>
  </si>
  <si>
    <t>Parfait Très pratique</t>
  </si>
  <si>
    <t>Très bien présenté dans une belle boite Pour offrir</t>
  </si>
  <si>
    <t>Très confortable Taillant du 46, j'ai pris le 46-48 et cela convient parfaitement niveau taille. Elles sont très confortable à porter, pas trop épaisses, donc conviennent pour été ou mi saison. Remontent sur la cheville juste ce qu'il faut. Bref pour 2e/paire (sur le lot de 6), je ne peux que recommander !</t>
  </si>
  <si>
    <t>Genial Micro au top Branchement hyper rapide Produit que je recommande vivement</t>
  </si>
  <si>
    <t>Très joli pendentif Acheté pour un cadeau. Elégant et fin. Je recommande!</t>
  </si>
  <si>
    <t>Très satisfait Démontage et nettoyage des plus facile.</t>
  </si>
  <si>
    <t>BON Bon matériel. Indispensable pour alimenter les microphones à condensateur. Le résultat est très bon du point de vue sonorité de reproduction.</t>
  </si>
  <si>
    <t>Très bien Le sac est livré dans un sac plastique  sans fioriture ni papier de soie. La qualité du tissu, des scratchs, des fermetures éclair est indéniable. Sa conception est très bonne. Il y a de nombreuses poches de taille suffisante qui permettent de ranger de nombreux accessoires dans un espace assez réduit. J'y range une tablette 12.6 pouces, une souris, des câbles, une alimentation secteur, un cahier A4 et il reste encore de la place. Je recommande cet article.</t>
  </si>
  <si>
    <t>look très classe !!! Montre très chicos ... qui peut se porter quelque soit la tenue vestimentaire, sport ou classique. Les matériaux utilisés tant pour le cadran, que pour le bracelet, sont de qualité et la finition est top ... Bon rapport qualité/prix. Donc OK</t>
  </si>
  <si>
    <t>Parfaits ! La marque Avent reste pour nous une marque de référence pour les biberons. Dans ces biberons, Avent a revu la forme de la tétine, qui ressemble plus à la forme du sein de la maman. La tétée se fait bien, et bébé n'avale pas trop d'air. C'est très bien. La seule chose qui rendrait le biberon parfait pour nous, c'est qu'ils soient en verre, même si maintenant tous les biberons sont dépourvus de matières toxiques. Les tétines en rab, la sucette et la brosse sont un plus dans un kit de naissance.</t>
  </si>
  <si>
    <t>Bon achat Je suis très satisfaite de mon achat. L'article est de très bonne qualité ,les finitions sont soignées.je recommandé cet article.</t>
  </si>
  <si>
    <t>Trop beau Pour être à l'aise</t>
  </si>
  <si>
    <t>Converses très belles et qui chaussent juste,belle qualité et très bon rapport qualité prix. Que du bonheur!! Très beau produit!!elles chaussent juste. Belle qualité du cuir noir pratique à nettoyer. On est bien dedans.on trouve de grandes tailles.</t>
  </si>
  <si>
    <t>egoutte-biberons utilisation pratique et simple . super article je recommande</t>
  </si>
  <si>
    <t>Parfait Superbe veste ,taille bien ,bonne qualité peux être portée pour le sport ou même avec un jeans pour tout les jours .</t>
  </si>
  <si>
    <t>Beau sac, mais système de fermeture fragile C'est un peu à contrecœur que je mets 2 étoiles à ce sac. Globalement, il est vraiment bien et je le trouve esthétiquement très sympa. En revanche, le système de fermeture est beaucoup trop fragile et irréparable. Les deux clipses de fermeture sont chacun muni d'un ressort métallique sous la forme d'un arc métallique calé à l'intérieur de la fixation. Cependant, ceux-ci n'y sont pas fixés mais simplement maintenus de manière très approximative car il sont légèrement plus large que l'ouverture. Du coup ça n'a pas loupé, j'ai perdu un ressort et une des deux fixations ne se ferment plus.</t>
  </si>
  <si>
    <t>Matière en plastique Reçu cette paire de Basket Puma le 29 Avril 2019. La matière est en plastique !(Autre cuir soit disant)et non en cuir comme dit le descriptif lors de l'achat,on peut le  constater sur l'étiquette au niveau de la languette que ce produit Viens de Chine(Made in China).et déformation du talon droit dans les 10 minutes qui suivait. Qualité pas au rendez vous. A ce prix là fallait s'en doutait... Cependant j'ai ramené cette paire de basket dans deux magasins spécialisé de grandes marques,le premier magasin avait un gros doute sur la matiére et le deuxiéme magasin ma bien comfirmé qu'il sagissait de matiére qui était pas en cuir!,Donc pas d'état d'ame pour moi... Donc retour de cette paire de Basket Puma. Bravo Amazon!. (Voici le lien authentique d'une vrai paire de basket Puma Classic LFS,pour 10 euros! de plus,selon les pointures.): https://www.amazon.fr/gp/product/B00HRAAZM4/ref=ppx_yo_dt_b_asin_title_o02_s00?ie=UTF8&amp;amp;psc=1    Ben</t>
  </si>
  <si>
    <t>Micro ne fonctionne pas sur cette 2ème génération Micro qui ne fonctionne pas et le problème est récurent. Le support de Beyerdynamic répond qu'il faut tourner et enfoncer fort...  Drôle de réponse... mais ça ne change rien du coup c'est un retour pour ma part malgré qu'il soit confortable et un bon son je suis déçu de cette marque. Comment on peut rendre le micro inutilisable à 300€ ???  Heureusement qu'il y a un bon SAV comme Amazon.</t>
  </si>
  <si>
    <t>Peu mieux faire Je vais vous dire que pour le prix on peux pas se plaindre. Mais il ne fais pas le taff. Mon casque est trop grand donc obligé de rajouter de la mousse. Je déconseille pour les personnes ayant de gros et grand casques</t>
  </si>
  <si>
    <t>jolie sur la photo on peut penser que la pierre est légèrement translucide et avec des paillettes d'or, mais en vrai il n'en est rien!! la pierre est d'un joli bleu mais opaque et sans aucune paillettes dorées c.est dommage, jolie bague simple tout de meme..</t>
  </si>
  <si>
    <t>Reveil en douceur Le reveil du matin en douceur. Progressif et plusieurs possibilités d intensité de lumiere. Il faut plusieurs jours pour le regler selon nos desirs. Radio pas de bonne qualité.</t>
  </si>
  <si>
    <t>economique grace au côté "hyper-concentré" Indémodable, cajoline cajole la peau de bébé. Et sans mauvaises surprises svp!!! Donc....je valide et recommande.</t>
  </si>
  <si>
    <t>Pas déçu mais Cette brassière maintient bien mon bonnet D, mais je ne peux quand même pas l'utiliser seul pour des sports à "rebond", la matière est robuste et pas élastique ce qui permet un meilleur maintien je trouve, je vous conseille de prendre votre taille habituelle</t>
  </si>
  <si>
    <t>Chaussures belles et confortables Chaussures très confortable et agréable à porter</t>
  </si>
  <si>
    <t>Jolies bracelets C’est mon cadeau pour maman. Une belle bracelette … Ma mère adore ce cadeau.</t>
  </si>
  <si>
    <t>Très bon choix Casque reçu dans les temps. Utilisé pour l'écoute de musiques et vidéos. Il se connecte très facilement, la connexion est stable. En résumé il répond à toutes mes attentes.</t>
  </si>
  <si>
    <t>Sacoche Conforme a la photo, grande et pratique</t>
  </si>
  <si>
    <t>Produit conforme. Je travaille en milieu hospitalier adapter et confortable comme d'habitude. Je chausse du 40 mais pour les crocs je prend toujours une taille au dessous.</t>
  </si>
  <si>
    <t>impeccable Livraison rapide et soignée, c'est impeccable. mon fils va pouvoir reprendre son stylo</t>
  </si>
  <si>
    <t>Créoles en Argent C'est une très belle boucle avec de joli effet de reflet ma femme en ai ravi. Je recommande les yeux fermés.</t>
  </si>
  <si>
    <t>Jolies baskets Ce sont des baskets très confortables, légères et avec un tissu de bonne qualité.Je ne regrette pas cet achat.</t>
  </si>
  <si>
    <t>Bonne Choice Mettez-le au réfrigérateur et utilisez-le particulièrement confortablement</t>
  </si>
  <si>
    <t>J adore mes petites baskets ! Achetée en 2015 et je les porte encore, elles sont en bon état, j en prends soins et ne les porte que par temps sec car je les trouve très confortables et jolies. J avais adoré le parfum dedans quand on les reçoit ! Achetée en 39 pour une pointure 38,5, extra !</t>
  </si>
  <si>
    <t>Excellent qualité et taille impeccable Très bonne qualité, cette marque continue depuis des dizaines d'années à faire des produits confortables et indémmodables. Excellent rapport qualité / prix. Aucun problème lors du 1er lavage.</t>
  </si>
  <si>
    <t>.. Tres bon produit...sa fait 3 ans que je commande se produit...</t>
  </si>
  <si>
    <t>Micro HF plus bluetooth J'avais besoin d'un micro pour ma disco mobile j'ai voulu tester produit simple Basic de qualité sonore qui peuvent être bien pour faire du karaoké ou de soirée maison</t>
  </si>
  <si>
    <t>Très confortable J ai acheté ces chaussures pour mon mari. Il les adore ? Impeccable pour les personnes qui se déplacent beaucoup sur les chantiers</t>
  </si>
  <si>
    <t>Achat converse Av converse c'est ss surprise. Tout convient très bien. Petit bémol, la livraison n'a pas été faite à l'endroit convenu. Le nouvel endroit était assez loin de chez moi</t>
  </si>
  <si>
    <t>Nous en sommes content. Très facile pour un sevrage en douceur après l’allaitement, Le gros plus c’est facile de stérilisation en étant en sortie.</t>
  </si>
  <si>
    <t>faire attention avec la tailler D'habitude j'achete 46 (FR), 12 (US) dans ce cas j'aurais du prendre un 13(US), donc j'ai du renvoyer le produit.</t>
  </si>
  <si>
    <t>Erreur pointure J’ai commandé des baskets pointure 41,5 je les reçois en 41!!!!</t>
  </si>
  <si>
    <t>innadmissible ! A peine 3 mois après l'achat j'ai déjà un écouteur qui ne fonctionne plus ! vu le tarif c'est inadmissible.</t>
  </si>
  <si>
    <t>Fermeture éclair Fermeture éclair un peu fragile.</t>
  </si>
  <si>
    <t>Tailles conformes Je pensais que la taille 40 serait un peu juste en legging, car elle est aussi indiqué M. Je fais bien un 40 mais j'ai des cuisses et mollets assez musclés et craignais d'être un peu serrée. Ce n'est pas le cas. Le legging me va de manière très confortable. Il ne serre pas à la taille.  Le modèle est original avec ses différentes couleurs. Une micro poche sur le devant de la taille permet d'accueillir une clé.  Je regrette juste que les coutures se ressentent sur l'intérieur. Elles sont assez grosses et nombreuses compte tenu des effets de tissu. Pas redhibitif pour moi mais cela peut gêner certains.</t>
  </si>
  <si>
    <t>Solides et bons écouteurs, long fil, micro décevant Qualité de construction ⭐⭐⭐⭐⭐ Les écouteurs sont de très bonne qualité. En métal donc semblent un peu lourds après ceux fournis avec les téléphones, mais on s'y fait vite et c'est un gage de solidité :) A noter que leur verso est aimanté, ce qui est pratique pour le rangement.  Micro ⭐⭐ Le point noir de l'appareil. Il possède des fonctionnalités intéressantes (poussoir de contrôle du volume, bouton "appel" qui fait lecture/pause sur Android)  Mais il montre ses limites en appel : grésillements, bruits de frottement alors que je suis immobile (point remonté au constructeur, qui m'a répondu que c'était destiné à des appels occasionnels. Dont acte.)  Fil ⭐⭐⭐⭐ Très costaud, des renforts ont été prévu entre le fil et l'écouteur pour éviter les faux contacts. La prise jack est coudée pour ne pas s'abîmer dans la poche. J'enlève une étoile car il est trop long pour mon usage : il dépasse de ma poche lorsque je suis dans la rue/métro, ce qui le fait parfois se prendre dans les rebords. Cela peut cependant se résoudre avec la pince fournie en accessoire.  Qualité audio ⭐⭐⭐⭐⭐ Tout simplement imbattable dans cette gamme de prix ! Tout y est, aigus comme basses. C'est clair et équilibré, et le son est puissant.  Accessoires ⭐⭐⭐⭐⭐ Le constructeur n'a pas lésiné : pas moins de 4 paires d'embouts additionnels (cf. Photo) de tailles différentes pour combler tous les utilisateurs. Certains en mousse à mémoire de forme, d'autres en plastique. Tous isolent très bien de l'extérieur, et c'est un plaisir de les avoir dans le métro. A noter qu'il ne faudra sans doute pas conduire à vélo avec, sous peine de mal entendre les autres usagers de la route. On trouve également : - une pince pour gérer la longueur du fil - une pochette de rangement molletonnée qui saura bien protéger vos écouteurs des chocs. - aucun problème avec l'emballage, c'est une boîte métallique qui saura protéger au mieux votre précieux  En résumé ⭐⭐⭐⭐ On frôle l'excellence ! Très satisfait de mon achat, et je m'accomode de ses défauts. Ceux qui passeront beaucoup d'appels, passez votre chemin cependant car la qualité d'appel est juste moyenne. Les autres n'hésitez plus :)  N'hésitez pas à indiquer ci-dessous si mon commentaire vous a été utile</t>
  </si>
  <si>
    <t>pointure très juste Belles basket mais taille très juste ,il est conseillé de prendre une pointue au dessus pour être à l'aise surtout si vous avez le pied un peu large</t>
  </si>
  <si>
    <t>Super qualite Tres belle qualité et couleur eclatante et intense Très pratiques les couleurs fluo pr compléter la gamme des feutres stabilo</t>
  </si>
  <si>
    <t>Ras Un peu cher mais top</t>
  </si>
  <si>
    <t>Vraiment top Super chaussure ! trop douce et confortable !</t>
  </si>
  <si>
    <t>excellente qualité, 5 fois moins cher que le haut de gamme Très satisfait car je supporte mal les aigus et la totalité des autres casques bluetooth que j'ai essayés, même les haut de gamme, rendaient bien son plus aigu que celui-ci. Confortable, hélas pas très pratique quand on porte des lunettes (comme la grande majorité des autres casques)</t>
  </si>
  <si>
    <t>Un super investissement. Vraiment excellent comme micro. Avec l’application, c’est vraiment un outil simple à utiliser et de vraie qualité !</t>
  </si>
  <si>
    <t>bien Tres bon rapport qualité prix .Je recommande cet article sans problème.</t>
  </si>
  <si>
    <t>Très bon rapport qualité prix Très bonne qualité</t>
  </si>
  <si>
    <t>parfait conforme a la photo , livraison rapide , facile à utiliser bonne contenance , silencieux Très satisfaite de mon achat , esthétique malgré que ce soit du plastique. je recommande</t>
  </si>
  <si>
    <t>Robustesse au service du sport Robustesse pour usage quotidien .Attention pour la marque Salomon prévoir 1 pointure au dessus de votre pointure voir 1pointure et demi .</t>
  </si>
  <si>
    <t>Créoles top!! Très beau bijou, correspond à la photo</t>
  </si>
  <si>
    <t>Super produit Super, sauf qu' on ne peut pas baisser suffisamment le son . Il faudrait un niveau intermédiaire par rapport au tel.</t>
  </si>
  <si>
    <t>Au top ! Ce legging est très bien taillé. Ni trop grand ni trop petit. J'avoue que je ne cours pas alors que m'en sers comme bas de pyjama et je suis très à l'aise dedans. Il ne colle pas ; je ne transpire donc pas dedans.  Je l'ai lavé et il n'a pas rétrécie au lavage.  Top !</t>
  </si>
  <si>
    <t>Des bib’ en verre dans un joli coffret cadeau 🎁 Si on peut se passer du plastique (même sans BPA) et surtout pour les bébés, je pense qu’il faut le faire. Ce coffret fera toujours plaisir aux mamans. C’est un joli cadeau utile pour la maternité. Je l’ai offert à la fille d’une amie qui a accouché il y a peu et elle était ravie !</t>
  </si>
  <si>
    <t>Prendre une taille en dessous de la votre J'adore ! J'ai suivi les commentaires des autres acheteurs et moi qui met du 46 j'ai pris L Xl Et il est parfait. Matière agréable.</t>
  </si>
  <si>
    <t>mini, mimi et parfaite très contente de cet article. Elle est très pratique, belle finition, elle chauffe très rapidement pas trop grande ni trop petite parfaite pour 2 voir 3 tasses</t>
  </si>
  <si>
    <t>Trop lent ... Compte tenu du prix, nous nous attendions à un produit de grande qualité. Il s'avère que ce chauffe biberon met plus de 10 minutes pour chauffer de petites quantités (60 à 100 ml). Pas pratique quand bébé est en train de hurler à côté.  Prix bien trop élevé comparé aux autres chauffes biberons de gamme équivalente sur le marché.</t>
  </si>
  <si>
    <t>Qualité Je viens d’annuler ma commande car les commentaires ne sont pas top</t>
  </si>
  <si>
    <t>Bonne qualité mais service de livraison à fuire Papier bulle acheté pour notre déménagement Commande facile mais livraison catastrophique !</t>
  </si>
  <si>
    <t>Bien Ils sentent bon mais pas assez fort pour moi...</t>
  </si>
  <si>
    <t>Oui, ça colle bien entre nous Enfin je retrouve un adhésif qui permet de coller des objets au mur (espèce de crépi que je n'ai pas choisi), bizarrement ça n'a pas l'air de coller (pas aux doigts), mais une fois fixé au mur, on s'étonne de l'adhérence.  C'est un peu cher, mais ça marche !</t>
  </si>
  <si>
    <t>Comme décri Joli et livré avec un cordon supplémentaire en cas de casse</t>
  </si>
  <si>
    <t>confortable Chaussures confortables, amortissement très correct, chausse normalement ,pour l'usure, achat trop récent pour un avis . A ce jour un seul reproche : ces chaussures sont pour moi un peu volumineuses</t>
  </si>
  <si>
    <t>adapté pour coller sans détruire - conforme et très utile pour le bricolage</t>
  </si>
  <si>
    <t>Très belles chaussures ! J'ai acheté ces chaussures pour mon petit frère et il les adores ! Le designe est bien fait, elles tiennent bien au pied et sont confortable ! 5 étoiles bien mérité !!!</t>
  </si>
  <si>
    <t>Très nien Très bien</t>
  </si>
  <si>
    <t>Jolie Elles  sont superbe et en plus on a en cadeau des semelle intérieur c'est sympa je fait  35 j'ai pri 35.5 mais sur les chaussures c'est écrit 35 elles me vont parfaitement bien</t>
  </si>
  <si>
    <t>Génial Je fait du 39 j'ai pris du 38 et demis j'aurais pue prendre un 38 sans problème à pas sa elle son génial a classe et très confortable elle son fournie avec deux paire de lacet</t>
  </si>
  <si>
    <t>Magique Meilleure cire pour restaurer du cuir. Odeur très bonne et vraiment performant</t>
  </si>
  <si>
    <t>sublime j'ai commandé ces boucles pour l'anniversaire d'une amie. Elles ont beaucoup plu, bel emballage comme chez le bijoutier. L'argent est très beau, à l'oreille ça fait son effet et vu le prix j'en commanderai bien pour moi !</t>
  </si>
  <si>
    <t>très jolies Toutes douces et super confortables !!!</t>
  </si>
  <si>
    <t>Confortable Confortable et taille bien</t>
  </si>
  <si>
    <t>parfait à recommander</t>
  </si>
  <si>
    <t>Parfait Parfaitement satisfaite de cet achat, bracelet de 17 mm, noir pour redonner une seconde vie à ma swatch . Le bracelet est plus caoutchouté que l'original, mais parait solide . Je pense qu'il sera aussi solide que l'original . Petit kit d'installation livré avec . Bon packetage .</t>
  </si>
  <si>
    <t>Magnifique Gilet manches longues avec dos et épaules en dentelle ! &lt;a data-hook="product-link-linked" class="a-link-normal" href="/Gilet-coton-Femmes-Veste-Gilet-Femme-Manches-Longues-Boléro-Châle-Femme/dp/B06XRV55JY/ref=cm_cr_getr_d_rvw_txt?ie=UTF8"&gt;Gilet coton Femmes Veste Gilet Femme Manches Longues Boléro Châle Femme&lt;/a&gt;  Le produit correspond tout à fait à la description qui en est faite sur le site. Livraison très rapide et soignée. A l'ouverture du colis, on découvre un gilet à manches longues très bien plié et rangé dans une pochette en plastique. Ce gilet est tout simplement magnifique !!!  La matière est très légère et très agréable à porter. Il peut aussi bien se porter pour aller au travail avec un petit top de couleur et un jeans, ou encore pour être habillé sur une robe de soirée. Il s'accommode à toutes les circonstances. Il est original car le dos et les épaules sont en dentelle. Il taille correctement et ses finitions sont impeccables (pas de fils qui dépassent ou de coutures oubliées). Son entretien est très facile : il se lave à l'eau froide. Je suis tout à fait ravie de cet achat et vous le recommande vivement, très bon rapport qualité/prix. Vendeur correct et très courtois, à recommander.</t>
  </si>
  <si>
    <t>Excellent produit Superbe livre de coloriage qui a beaucoup plu à ma nièce de  3 ans. Très jolies illustrations et très belle qualité.</t>
  </si>
  <si>
    <t>A la hauteur Un bon rapport qualité prix pour ces essuie tout. Ils sont épais, très absorbants et résistent bien lorsqu'ils sont humides.</t>
  </si>
  <si>
    <t>Veste La veste est conforme à la photo sur le site.. Je suis très satisfait de ce produit.. Je le recommande</t>
  </si>
  <si>
    <t>Cafetière Filtre Verseuse Moulinex inox et Blanc Cafetière pratique de qualité et de marque connue , bon usage , j'utilisai l'ancienne programmable depuis des années, ayant cassé la verseuse, j'ai repris la même sans programme ,mais en Blanc à un prix attractif, commandé le dimanche soir et livré le mercredi rapidement chez Amazon comme habituellement Jean-Claude</t>
  </si>
  <si>
    <t>Jolies tongs Ce sont de belles tongs mais elles taillent petit. J'ai commandé du 41-42 et j'ai reçu quelque chose de plus proche du 40.</t>
  </si>
  <si>
    <t>pas nette originalité  douteuse, on l'a renvoyé et j'ai été remboursé</t>
  </si>
  <si>
    <t>Le micro ne charge pas Le produit a bien fonctionné quand je l'ai reçu. C'est un super jouet. Il s'est déchargé (normal) et là pas moyen de le charger. J'ai eu beau le brancher (jusqu'à 8h de temps) il ne charge pas. Donc je ne peux plus l'utiliser. J'ai utilisé le cordon USB fourni,j'ai aussi tenté avec mon cordon de charge de téléphone samsung mais toujours rien. Le voyant de charge clignote mais la batterie ne charge pas. C'est le 2ème micro que je commande et j'ai le même problème.</t>
  </si>
  <si>
    <t>Je m'attendais à mieux Vu la marque, je m'attendais un un son meilleur et plus puissant mais je crois que j'en ai eu pour mon argent, il n'était pas cher !....</t>
  </si>
  <si>
    <t>bon produit Produit conforme à la description de la photo. socquettes sympathiques rien à envier aux autres marques. Cela me va bien</t>
  </si>
  <si>
    <t>MONTRE LIGE LA MONTRE ET PLUTOT CLASSIQUE ET FAIT PAS MAL D EFFET A VOIR DANS LE TEMPS LA QUALITE, PRODUIT PEU CHER.</t>
  </si>
  <si>
    <t>Excellent rapport qualité prix mais pas parfait La tenue de la laque dorée peine un peu par rapport au reste de l'excellent rapport qualité prix de cette montre!</t>
  </si>
  <si>
    <t>Très simple et suffisant Utilisée au quotidien pour le travail, la montre est très pratique et suffisamment simple pour ne pas dénoter avec n'importe quelle tenue. Et pour le prix... Seul reproche, elle n'affiche pas les jours.</t>
  </si>
  <si>
    <t>Sacs poubelles  à poignées Très bien si on ne charge pas trop les sacs et si on possède une poubelle haute. Dans mon cas, c'est suffisant. Je pense refaire une commande.</t>
  </si>
  <si>
    <t>Tb Très bien</t>
  </si>
  <si>
    <t>Casque audio sans fil Thomson Très bon casque pour moi qui suis mal entendant. C'est le troisième de la marque que j'achète (je les casse en m'asseyant dessus !) vu son très bon rapport qualité/prix.</t>
  </si>
  <si>
    <t>Parfait Super grille pain. Nous l'avons acheté pour une maison secondaire. Nous en avons déjà un pour notre résidence principale depuis des années et il est top. Cette couleur est très belle.</t>
  </si>
  <si>
    <t>Parfait Parfait et très agréable aux oreilles</t>
  </si>
  <si>
    <t>Montre Très jolie montre pour un adolescent. Elle est fine et très classe.</t>
  </si>
  <si>
    <t>Excellent Excellent, ce livre est à la fois utile aux parents, aux ados, aux jeunes adultes. Un livre accessible, didactique, passionnant. J’ai beaucoup appris au fil des pages.</t>
  </si>
  <si>
    <t>super je laisse mon commentaire apres 1 an d utilisation ,tout ca pour dire que c est chaussure sont vraiment de super qualité ,confortable ,,vous pouvez les acheter les yeux fermées a votre pointure !je fais du 43 ,j ai recu du 43 et elle font du 43 !!les meilleur chaussure que j ai jamais eu....au top ;) !j aimerais en racheter une meme paire mais le prix a trop augmenter!</t>
  </si>
  <si>
    <t>J' adore Ayant  déjà  la petite  boîte  de 72 je ne pouvais pas passer  à  côté  des 120😁😁.  Les crayons  sont à  base de cire donc  et numérotés, rangé  sur 3 étages  avec  des élastiques  de chaque côté  pour les soulever  .  Par contre,  une forte  odeur  de pétrole  s' en dégage ( c'est  normal  pour  ces crayons ). J' ai opté  pour une trousse  plutôt  que la boîte  en fer que je ne trouve pas très  pratique  pour  les prendre et l'odeur  fini par s estomper.  Sinon  elle est de bonne qualité. Certains  crayons  sont plus secs que d autres ( les plus clairs en Couleur  évidemment ) mais il y a une bonne pigmentation. Pour le prix de 34 euros, ne vous  en privez pas ! Castle art supplies est une entreprise  qui monte et qui commence  à  être  bien  connue et reconnue 😊😊</t>
  </si>
  <si>
    <t>C'est génial Excellentes chaussures de course sur route ou chemin. Dès les premières foulées, une vraie sensation de confort et de dynamisme. L'amortie est excellente, mais sans alourdir la foulée. Au contraire, on est poussé vers l'avant, ce qui permet une course dynamique. Je recommande sans réserve.</t>
  </si>
  <si>
    <t>Joli,conforme a la description ! Bien,rien a ajouter !</t>
  </si>
  <si>
    <t>agréablement surprise au vu d un commentaire indiquant que le bijou faisait bling bling doré j avais un peu hésité mais J ai fait confiance aux autres commentaires car j aime bq les cristaux et je ne suis absolument pas décue ... BIENSUR il brille .. MAIS il est trés joli et va aussi bien avec une tenue noire classe  qu  avec des vétements bariolés ...la seule petite touche qui fait or rose un peu doré doré est la chaine de sécurité mais franchement ce n est rien !! donc pour les fantaisistes je recommande ...</t>
  </si>
  <si>
    <t>Parfait ! Simple et stylé</t>
  </si>
  <si>
    <t>Trop belle Taille très bien</t>
  </si>
  <si>
    <t>confortable tres confortable car je n'ai pas mal au pieds quand je marche longtemps . Et cela devient rare avec des chaussures a se prix a recommander vivement  !!!</t>
  </si>
  <si>
    <t>Taille bien. Ne "bouge" pas pendant la course. Ce legging taille bien. (Et je suis difficile car j'ai toujours l'impression que ce genre de vêtement moulant "grossi"...) Je le porte pour courir : il ne bouge pas : très confortable. Chaleur moyenne.</t>
  </si>
  <si>
    <t>Hanses cassées Le biberon est très joli. Les 2 tétines sont bien pensées. Mais, j'ai reçu l'article endommagé au niveau des hanses. Mon bébé ne peut donc pas s'en servir. J'ai informé le vendeur à deux reprises afin de trouver une solution à ce problème mais je n'ai encore pas reçu de réponse.</t>
  </si>
  <si>
    <t>Attention la croix mentionnée sur l emballage ne correspond pas à l ouverture de la tétine Ne correspond pas du tout à mes attentes, je pensais que la tetine etait ouverte en croix et non c'est juste un trou. Mon enfant prend du lait epaissi et donc cela ne va pas.</t>
  </si>
  <si>
    <t>Des chaussures uniquement pour le placard Je conseille ces chaussures uniquement pour les regarder. Pour marcher avec, je déconseille vivement. Elles m'ont tenu 3 semaines.</t>
  </si>
  <si>
    <t>Se rapproche plus d'un survêtement de jogging que d'un hoodie. Moi déçu, mais plairait à d'autres. Je suis embêté pour la note, j’hésite entre un 2 et un 3 étoiles; et vu que j'ai pris 2 articles, je vais en mettre un de chaque. (Mais je conçois aussi qu'une note de 4 ou 5 étoiles ne serait pas imméritée. Mais pour ma part je suis déçu.)  * LES PLUS: L'impression est jolie et semble de bonne qualité. Ça c'est très bien. Le tissu, en soi, semble aussi de bonne qualité, un peu élastique comme un survêtement de sport. La livraison OK aussi.  * LES MOINS: Par contre, ça taille petit et le tissus est quand même très fin (quoique peut-être de bonne qualité, je n'en doute pas). Mais grosse déception au niveau de la sensation. L'automne arrivant j'aurais voulu qq chose d'ample et chaud, un peu "moute-moute", et je me retrouve avec une espèce de grosse chaussette qui me moule bien mon embonpoint. Pourtant j'ai pris du L/XL (théoriquement 114-134cm). En même temps, le tissus étant trop fin, plus large n'eut pas été joli.  Ce n'est pas de la mauvaise qualité, mais je suis très déçu question "chaleur" et "confort". J'aurais voulu un hoodie dans lequel je me sente à l'aise et au chaud, en mode "chill-and-netflix" en quelque sorte; quelque chose d'ample et chaud.  Pour conclure, je dirais que c'est plutôt un survêtement sportif qu'un hoodie, en fait. Conviendrait davantage à quelqu'un de plus jeune, dynamique et sportif ? En été, le soir. Mais je ne compterais pas dessus pour me tenir chaud l'automne venu si je ne suis pas déjà mobile et en train de cramer des calories à la base.</t>
  </si>
  <si>
    <t>Convenable Emballage un peu cheap. Couleur un peu plus criarde que peut laisser croire la photo. Le fil sort des deux côtés, j'aurais préféré d'un seul mais ce n'est pas dramatique. Pour du Sony le prix est raisonnable. C'était pour un cadeau et la personne en a été satisfaite.</t>
  </si>
  <si>
    <t>Comfortable mais montage ardu Une fois le fauteuil monté, il supporte bien le dos et la tête permet de partir un peu en arrière, assez ferme ça change d'autres fauteuil où on s'entasse, bien fini (en apparence). Concernant le montage si on n'aime pas forcer les choses, le taraudage interne pour les vis des deux cotés du bas du soutien (dos) était vraiment dure à visser (même directement sans rien fixé) ainsi que les trous pour visser l'accotoir droit étaient un peu trop éloigné même en étant le plus dévissé possible,accotoir gauche beaucoup plus simple a visser. Avis revu pas de problème en vue après un mois, bon fauteuil pas de doute.</t>
  </si>
  <si>
    <t>Top Confortable mais l'élasticité du tissus se relâche un peu vite a mon goût</t>
  </si>
  <si>
    <t>Conforme à mes attente Super 😊</t>
  </si>
  <si>
    <t>Solide Un peu grand pour ma part mais bon produit</t>
  </si>
  <si>
    <t>Trésor bien pour le prix Fait son boulot</t>
  </si>
  <si>
    <t>Parfait Se produit et bien conçu il a un son et des basse parfait il a une bonne autonomie je suis content de se produit le prix et élevé mais pour le moment il a pas meilleur</t>
  </si>
  <si>
    <t>Vans Les baskets me vont bien</t>
  </si>
  <si>
    <t>Juste ce que je cherchais Une bouilloire au look sobre et sympathique, robuste et rapide = qualité Bosch. Attention, en finition inox, les parois ne sont, évidemment, pas froides lorsque l'eau finit de chauffer (conductivité thermique oblige).</t>
  </si>
  <si>
    <t>belle sacoche beau produit, belle finition</t>
  </si>
  <si>
    <t>Bon produit Super produit, le seul bemol c’est la luminosité de l’ecran un peu faible</t>
  </si>
  <si>
    <t>parfait Très satisfaite  de ce sac isotherme ! J'y met 2 biberons et une boite de lait en poudre c'est parfait, je recommande.  Pour info la fermeture est orange. Très jolie et mixte.</t>
  </si>
  <si>
    <t>Parfaitement conforme Parfaitement conforme Taille Couleur Matière Forme</t>
  </si>
  <si>
    <t>conforme au descriptif parfait</t>
  </si>
  <si>
    <t>Une forme avantageuse Elle correspond tout à fait à mes attentes Sous la poignée il y a une petite épaisseur qui empêche les doigts de se bruler.</t>
  </si>
  <si>
    <t>Rien Très bien et de bonne qualité</t>
  </si>
  <si>
    <t>Très bon rapport qualité/prix Sacoche en cuir de très bonne qualité. Un agencement remarquable. Prix très attractif.</t>
  </si>
  <si>
    <t>Lot de 3 boites de bicarbonate de soude 3×500gr Le bicarbonate de soude est largement connu dans le monde entier, acheté en lot de 3, je suis très content de cette bonne affaire qualité prix,  merci chère équipe à tous.</t>
  </si>
  <si>
    <t>Très bon câble VGA Produit de bonne qualité qui fonctionne parfaitement bien, la qualité de l'image est très bien</t>
  </si>
  <si>
    <t>Beau produit Nickel très beau produit (assez long pour les grandes femmes) je recommande</t>
  </si>
  <si>
    <t>Déçu Malheureusement, même si ces chaussettes sont de marque, et bien elles sont terriblement fragile et très fine... Je ne pense pas tenir plus de 6 mois avec ces chaussettes... Dommage.</t>
  </si>
  <si>
    <t>Attention, Amazon envoie l'ancien modèle et pas celui montré sur les photos !! Mis à part le fait que c'est l'ancien modèle qui est mis en vente et pas celui affiché sur les photos, le produit est de bonne qualité ! En effet, le produit que j'ai reçu est un ancien modèle de cette sacoche. Sur les photos du site web (3ème photo), on peut voir une attache (avec un scratch) sur la poche rembourrée. D'ailleurs, cela est aussi précisé dans les caractéristiques fournies par Amazon. Les nouveaux modèles sont ceux fournies avec l'attache. Je déplore cette tromperie et cette publicité mensongère alors que les dépôts d'Amazon cherchent à écouler le stock de l'ancien modèle qui est sans attache !! Le service client contacté par téléphone m'a proposé un produit de remplacement, et m'a assuré avoir remonté l'information au service logistique: le problème est que le 2ème produit reçu est lui aussi un ancien modèle ! Un remboursement m'a été proposé (alors que je m'attendais à ce qu'ils se réengagent à m'envoyer le bon produit et à me dédommager), mais jusqu'à quand peut-on se permettre de tromper les clients comme cela ?!!</t>
  </si>
  <si>
    <t>Déception ! Bonjour , complètement insatisfait. 2 mois que je joue avec environ 3-4h par jour , bourdonnement pendant la charge , bruit de plop et de grésillement, si la batterie est vide vous ne pouvez pas joué avec celui ci pendant la charge , même branché sur secteur , perte du son côté gauche ainsi que du micro et voilà que aujourd'hui il ne se charge même plus ... Je voudrais être remboursé. Comment faire ? Merci</t>
  </si>
  <si>
    <t>Bon rapport qualité prix!! Comme d'habitude pour les timberland euro Sprint..... Bonne chaussures, agréable à porter et belle coupe.  Taille comme il faut, plus légèrement plus grand que des chaussures de sports comme d'hab ( prévoir 1/2 pointure de plus que pour les basquettes, pour ceux qui ne le savent pas )  La matière n'est pas du cuir ordinaire mais plutôt un genre de din sur la partie supérieure. Pour autant elles ne semblent pas si fragile.  Je l'ai payer au alentour de 100 euros et cela vaut le coup.</t>
  </si>
  <si>
    <t>Taille parfaitement. Taille très bien, super produits.</t>
  </si>
  <si>
    <t>Bon produit Très joli bijoux .</t>
  </si>
  <si>
    <t>Correct Bon produit.</t>
  </si>
  <si>
    <t>Bien mais papier fin C’est toujours bien d’avoir du papier cadeau dans cette quantité car on en a toujours besoin. Le prix est bon mais le papier est assez fin, attention se déchire facilement</t>
  </si>
  <si>
    <t>Bon produit. Une accroche un peu compliqué Très jolie montre. Fonctionne extrêmement bien, rien à redire. Tient bien en mains. L'accriche est un peu difficile à passer mais une fois fait, plus aucun problème</t>
  </si>
  <si>
    <t>très bon produit j'ai pu tester plusieurs goupillons depuis 3 ans. Je n'avais jamais tenté Tommee Tippee Cette fois ci je voulais essayé quelque chose d'autre que ce qu'on trouve en grande surface, j'ai donc essayé celui là. Il convient pour tout les biberons. je l'utilise pour les biberons de la même marque comme pour les biberons a plus petit goulot de marque concurrente. Il est vraiment parfait, tient bien, solide, nettoie efficacement dans tout les recoins.  Je recommande ce produit.</t>
  </si>
  <si>
    <t>RAS il est bien pour l'instant RAS</t>
  </si>
  <si>
    <t>les vraies au bout d'un an, elles sont encore en vie!!! un coup de machine à laver et ça repart pour plusieurs jours</t>
  </si>
  <si>
    <t>Top Un produit simple d'utilisation, design, qui diffuse les huiles essentielles souhaitées. Il fait bien le boulot. Je ne regrette absolument pas mon achat !</t>
  </si>
  <si>
    <t>Satisfait C est bien emballée dans la boîte.  Il reconnaissance avec bluetooth facile  et le qualité de son est parfait. Clair.  la fonction première est bien sur le karaoké.</t>
  </si>
  <si>
    <t>Solide et esthétique Je l’utilise depuis 3 mois dans le train. Très bon son qui isole bien. Le casque se plie facilement et se range parfaitement dans son étui. Le casque est solide et le design sympa.</t>
  </si>
  <si>
    <t>Très bonne bouilloire Je cherchais une bouilloire à réglage de température, je ne suis pas déçu par ce modèle que j'utilise quotidiennement avec plaisir.  Points positifs : - facilité d'utilisation, le réglage des températures se fait aisément - rapidité de chauffe - design - fonction pour maintenir l'eau chaude - versement très aisé sans faire couler d'eau (c'était le cas de mon ancienne) - les filtres fournis  Points négatifs : - lorsque l'on souhaite retirer la bouilloire, le socle à tendance à rester fixé, il faut faire attention pour ne pas l'emporter avec. Petit problème de conception là - l'actualisation de la jauge de remplissage n'est pas immédiate</t>
  </si>
  <si>
    <t>sac beau et pratique Un sac qui est esthétiquement beau, j'y met mon portefeuille, mon s7 edge et les clés bref super pratique. Pour ce qui est de la marque j'ai déjà eu des sacs de cette marque qui ont bien duré donc j'espère que ça sera la même chose pour celui ci.</t>
  </si>
  <si>
    <t>sympa stylé</t>
  </si>
  <si>
    <t>Très très bon produit &lt;div id="video-block-RDCNMHLM2GPJ1" class="a-section a-spacing-small a-spacing-top-mini video-block"&gt;&lt;/div&gt;&lt;input type="hidden" name="" value="https://images-eu.ssl-images-amazon.com/images/I/B1++YMmbC8S.mp4" class="video-url"&gt;&lt;input type="hidden" name="" value="https://images-eu.ssl-images-amazon.com/images/I/912ECkfZKLS.png" class="video-slate-img-url"&gt;&amp;nbsp;C'est vraiment un super produit, en plus, on reçoit 2 micros, du coup on peut animer une soirée à 2 personnes, ou comme je l'ai fait s'amuser au karaoké... Très facile à installer, par exemple moi je l'ai relié à ma barre de son, la notice fournie est aussi en français, la portée des micros a l'air très bonne, un produit vraiment pour professionnel comme amateur, transportable partout.</t>
  </si>
  <si>
    <t>très bien j'ai offert ce casque à mon père pour son anniversaire. Déjà, il a su l'installer seul, donc je dirais qu'il est facile à installer. Mon père est très satisfait, le son est bien, et le casque "l'isole" plus du bruit extérieur que son précédent casque. seul bémol, il trouve que selon les programmes, il est obligé de monter un peu le son de la télé, car même avec le casque au maximum, il n'entend pas bien. Dans l'ensemble, il est très satisfait.</t>
  </si>
  <si>
    <t>excellent ou meme plus. Extraordinairement tres bien construit, en fait in crevable,fabriquer en chine mais qualite american a prendre avec le yeaux fermer peut etre briller avec creme sapphir</t>
  </si>
  <si>
    <t>Bracelet pierres Bracelet très joli qui tient bien au poignet Quant aux vertus escomptées, ce n’est pas flagrant mais je l’ai acheté en priorité pour son esthétique..</t>
  </si>
  <si>
    <t>Se taire et savoir écouter Parce que les moments de lecture sont des moments privilégiés avec son enfant mais aussi une détente et surtout l’occasion de donner à son enfant l’envie de découvrir d’autres histoires et le goût des livres. Je n’hésite pas à mette 5 étoiles car c’est un joli livre, une histoire qui fait découvrir à l’enfant diverses réactions, divers sentiments. Il n’y a qu’un seul personnage, un petit garçon qui s’appelle Camille mais il va recevoir la visite de beaucoup d’animaux.  Camille a construit un immense château mais voilà que sa construction s’effondre. Tous les animaux viennent le consoler, chacun à sa façon. Certains lui conseillent de crier, d’autres de ranger, de rire, de se venger, etc., mais Camille n’écoute personne jusqu’au moment où le petit lapin s’approche tout doucement de lui…  L’enfant découvre l’histoire en même temps que les images et fait la connaissance de plusieurs animaux. On pourra lui demander comment il réagirait à la place de Camille et lui permettre ainsi d’extérioriser ses sentiments.</t>
  </si>
  <si>
    <t>Pas mal ... quand il fonctionne ! A la réception nous l'avons trouvé pratique puisque ne prends pas bcp de place. Puis le temps de chauffe nous a semblé trèèès long surtout quand bébé a faim et puis la question a été réglée ce matin : ne fonctionne plus. Nous l'avons acheté il y a un mois à peine !! Déçus !!!</t>
  </si>
  <si>
    <t>Déçue par le masque et Amazon Après une utilisation l’élastique c’est déchiré.  Je n’arrive pas à sélectionner pour cet article un retour SAV.  Très déçue  par Amazon.</t>
  </si>
  <si>
    <t>Arrivée avec des taches de rouille :/ A l’ouverture, surprise: tâches d’oxidation sur la base du produit (voir photos), qui ne sont pas parties au lavage. Défaut principalement esthétique, mais je suis quand même déçue justement parce que l’esthétique est une des raisons pour lesquelles je voulais cette bouilloire, le design est sobre et rend bien dans ma cuisine. Autrement c’est une bonne bouilloire, je veux dire, elle fait son travail. A voir dans le temps. Bon rapport qualité prix à première vue, plutôt silencieuse par rapport à mon ancienne bouilloire et facile à nettoyer. Contente de mon achat malgré ses petits défauts.</t>
  </si>
  <si>
    <t>Pour la randonnée C'est chaussures ne me semblent pas adaptées pour le trail : trop rigides et pas assez d'amorti. En revanche pour les randonnées elle peuvent faire l'affaire. Attention, elles ont tendance à tailler un peu grand par rapport à des chaussures de running.</t>
  </si>
  <si>
    <t>très jolie montre je viens de la recevoir, conforme à la publicité, jolie et fonctionne bien ; vous choisissez la ville ( paris) et elle se règle toute seule :-) elle est lègère et semble bien solide. je recommande surtout avec le prix actuel.</t>
  </si>
  <si>
    <t>Belles chaussures Tres belle paire de chaussures qui correspond tout à fait à mes attentes. Ce cadeau a fait le bonheur de mon frère</t>
  </si>
  <si>
    <t>chaussure de plage merci de toute vos commentaire ma fille chausse du 36 pris du 37 ainsi nickel ormis que les tailles sont pas très bien adapté  la chaussure nickel</t>
  </si>
  <si>
    <t>Excellent produit! Notre bébé habitué au sein est passé sans soucis à cette tétine. Elle a 6 mois maintenant et nous utilisons encore cette taille 2 pour les biberons contenant uniquement du lait et la taille 4 pour ceux avec un léger ajout de céréales. L'unique point que je peux reprocher est un jaunissement du caoutchouc avec l'usage mais cela reste esthétique. Je recommande sans réserve... Edit du 04/01/2016: le jaunissement du caoutchouc était du à mon épouse qui avait mixé de la carotte dans le biberon... En aucun cas il ne s'agissait d'un jaunissement du plastique... Je remonte donc d'une étoile mon avis.</t>
  </si>
  <si>
    <t>Superbe Très joli,ravi</t>
  </si>
  <si>
    <t>Ravie de cet achat Coloris et taille correspondant à mes attentes</t>
  </si>
  <si>
    <t>Très bonne qualité Je l'ai acheté pour mon fils. Taille très bien et super qualité ! Livraison plus rapide que prévue. Je recommande cet article</t>
  </si>
  <si>
    <t>parfait biberon Ce biberon je m'en lasserai jamais après avoir utilisée plusieurs biberons de marque c'est ce biberon qui s'est adapté le plus facilement a mon bébé et surtout pour l'entretien, c'est très facile a laver et a stériliser.</t>
  </si>
  <si>
    <t>Très bien Très bon rapport qualité/prix</t>
  </si>
  <si>
    <t>Satisfaite! Pas beaucoup de biberon à motif vendu en magasin alors très satisfaite de cet achat et les images ne partent pas au lave vaisselle</t>
  </si>
  <si>
    <t>Excellente sacoche La sacoche est très belle, très sobre, on sent qu'elle est robuste et elle se tient bien. Attention au crocodile, il est en métal et perd facilement sa peinture si vous le frottez contre un mur par exemple</t>
  </si>
  <si>
    <t>Excellent appareil Très bon appareil dont on sent le haut de gamme dans les finitions. Le produit est en plus peu accrochant au calcaire</t>
  </si>
  <si>
    <t>Très bien Comme tous les autres produits de cette marque que j'ai pu utiliser : solide, sobre, et fonctionnel. J'arrive à rentrer plein de choses dedans, un smartphone 5,5" avec son étui, un chéquier, un gros carnet, un paquet de cigarettes... Très bon équilibre volume/taille/nombre de rangements</t>
  </si>
  <si>
    <t>Top Facile à monter, à transporter et à laver, élégant et de bonne qualité ! Rien à redire</t>
  </si>
  <si>
    <t>Ma femme aime "Différents modes de vibration en fonction de votre humeur et de vos souhaits. La batterie est utilisée depuis longtemps, le produit n'est pas trop bruyant, je le recommande!"</t>
  </si>
  <si>
    <t>Très bien Franchement on est très bien Je les utilises pour la maison</t>
  </si>
  <si>
    <t>Légendaire Peu d'objets peuvent se targuer d'être légendaires, cette montre en fait partie. Elle a garni le poignet des grands de ce monde (obama jeune) mais les africains de 50 ans et plus ne jurent que par elle. Elle affiche l'heure, fait le chrono, éclaire avec peine, et affirme sa présence par 2 bips aigus toutes les heures (on/off), elle ne fait rien d'autre, mais c'est un légende.</t>
  </si>
  <si>
    <t>Que du bonheur Wahou magnifique casque 🎧 d’excellente qualité super bien emballé je les  pris avec l’étui Marshall comme ça quand je part dans  mes déplacements mon casque 🎧 sera bien protéger casque idéal car il fait les feux  filaire ou Bluetooth  franchement vous pouvez vous faire plaisir vue la qualité du casque  bravo et merci Amazon !!! Je trouve toujours mon bonheur sur Amazon ❤️</t>
  </si>
  <si>
    <t>Pas convaincu dutout Matière pas terrible, taille conforme et motif bien imprimé. Coutures honteuses au niveau des manches !</t>
  </si>
  <si>
    <t>Bon produit Je l'utilise dans la vie de tout les jours et du jour au lendemain la rotation des jours de la semaine fonctionne à moitié je n'est plus que 2 jours qui fonctionne</t>
  </si>
  <si>
    <t>pas énorme, attention , vue la photo, je m'attendais à une grande bobine: pas de tout environ 10cm de haut . en bref c est pour dépanner au jardin .</t>
  </si>
  <si>
    <t>Collier pour femme Je mets 3 étoiles seulement à ce produit. La chaîne est très très fine.... Donc déçu de ce produit..</t>
  </si>
  <si>
    <t>ca va sans plus j'aime que ce casque peut se mettre à plat, j'aime que c'est discret, et le son est correct.  Par contre les oreillettes glissent sur mes oreilles quand je penche la tête, et ont donc tendance à tomber (j'aime écouter la musique en faisant le ménage!).  Un peu frustrant.</t>
  </si>
  <si>
    <t>Il n y a pas de bruit, et l utilisation très simple. Pour l intérieur, ça marche aussi pour éloigner les moustiques...</t>
  </si>
  <si>
    <t>Top Très agréable, très bon amorti et surtout très légère pour moi qui marche beaucoup au travail. Très satisfait de ces chaussures de sécurité</t>
  </si>
  <si>
    <t>Taille grand Bonne qualite</t>
  </si>
  <si>
    <t>Bon casque 👍🏼 Casque de très bonne qualité, son parfait, seul petit bémol mais vraiment pour dire un truc négatif il est un peu gros même plié mais c’est vraiment pour faire le difficile. C’est le 2 eme que j’achète un pour cadeau et au final le 2ème pour moi car il est vraiment top et livraison super rapide.👍🏼👍🏼👍🏼 Pour la durée de vie je ne peux pas me prononcer car le premier casque a 8mois et le mien 3jr. Le casque tien bien 5-6jr avec une moyenne de 2h d’utilisation pas jour. Et le raccordement jack est appréciable quand on a plus de batterie.</t>
  </si>
  <si>
    <t>Très jolie Rien dire tout est impeccable</t>
  </si>
  <si>
    <t>Belle qualité chaussure du bonne qualité,ça tailler comme il faut, à intérieur il y a des fourrure, et il tien vraiment chaud. Cette hiver on va pas avoir le froid du pied. la boîte de chaussure est aussi du bon qualité, ça peut servir pour mon grenier.  Chaussure recommander</t>
  </si>
  <si>
    <t>Vans Old Skool Bonnes chaussures Vans. La livraison est rapide, la pointure va parfaitement. Correspondent bien à la description faite par le vendeur.</t>
  </si>
  <si>
    <t>Super ! Super ! Doux comme prévu, taille sans problème , parfait ! je vous le conseille vivement, idéal pour faire du sport comme pour trainer à la maison</t>
  </si>
  <si>
    <t>vraiment classe tres belle montre et tres classe je conseil</t>
  </si>
  <si>
    <t>À recommander pour les Fans Cadeau pour ma fille, elle a été folle de joie !!!! Le sweet correspond bien à la description, ça taille normale. Aucun problème au lavage.</t>
  </si>
  <si>
    <t>Qualité nickel Fils content Qualité nickel</t>
  </si>
  <si>
    <t>Super produit Oui j'aime aimé</t>
  </si>
  <si>
    <t>legging à rayures Les rayures donnent du style je suis très contente de ce legging.</t>
  </si>
  <si>
    <t>Montre Homme Casio Wave Ceptor LCW-M100DSE Très satisfait de cet achat. seul reproche : la notice est très petite. Pas facile à manipuler.</t>
  </si>
  <si>
    <t>J'en suis très satisfait Bracelet très fin à la recherche. Ma femme adore ça et le porte souvent，J'en suis très satisfait, Je le recommande il est parfait.</t>
  </si>
  <si>
    <t>Très joli Article conforme à la description. Bien qu'un peu lourd ma fille a adoré</t>
  </si>
  <si>
    <t>Quel gain de temps pour la maman Ce praprateur de biberons est le meilleur du marché actuellement. Il permet de ne plus vérifier si la quantité d'eau ou de lait est bonne, s'il faut en ajouter ou en retirer, tout se fait automlatiquement. Je recommande ce produit comme cadeau de naissance !!!</t>
  </si>
  <si>
    <t>Impeccable pour les repas à l'extérieur... Et pour les nuits ! Impeccable pour les repas à l'extérieur... Et pour les nuits !</t>
  </si>
  <si>
    <t>A savoir très jolies chaussures, mais: la taille est petite, j'ai dû retourner la première paire (prévoir 1 taille en plus - j'ai l'habitude de cette marque et normalement, je connais la pointure) + assez étroit . Et assez peu confortable en terrain accidenté du fait d'un soutien latéral piégeur: semelle étroite avec très bon grip, mais les crampons sot assez hauts, donc,, le pied part assez vite latéralement: attention aux chevilles...(j'ai eu des alertes avec le pied qui se fait embarquer sur le côté)</t>
  </si>
  <si>
    <t>bof Mauvaise qualité de coton. Transparence sur le t-shirt et finitions bas de gamme.</t>
  </si>
  <si>
    <t>Fragile 2 fermetures cassées dont 1 décousue. De nombreuses poches mais inaccessibles quand elles sont remplies. A éviter. A éviter. A éviter</t>
  </si>
  <si>
    <t>Origine requise Je pense que le pays de fabrication devrait figurer sur la présentation des produit. Quand une marque à un multisourcing il est important de savoir d'où viennent les produits.</t>
  </si>
  <si>
    <t>Autonomie et qualité de reception Après avoir lu les différents commentaires, je m'inquiétais sur la qualité du son et les nombreuses coupures décrites dans les commentaires pendant l'écoute. J'ai utilisé ces écouteurs avec différentes interfaces et il apparaît que selon le moyen utilisé (tablette ou téléphone ou ampli), la stabilité d'écoute n'est pas la même sans toutefois êtres rédhibitoire car c'est seulement avec mon smartphone que j'ai eu ces coupures et a un niveau de son relativement fort . Ce bilan est également valable selon la qualité de l'enregistrement ou streaming écouté. Pour ma part  je suis très satisfait de la qualité d'écoute et surtout sur la qualité de réception. J'utilise ces écouteurs pour différentes activités(sport, bricolage, écoute musique dans la maison) et j’apprécie la réception de bonne qualité dans toutes les pièces et même quand je perds  la connexion dés que je reviens dans une zone de couverture les écouteurs se reconnectent automatiquement.</t>
  </si>
  <si>
    <t>Très chaud ! J'ai un mari extrêmement frileux des pieds et qui passait son temps à se plaindre . Je lui ai offert ces chaussons. Il adoooorrrrree !! il me dit qu'il a enfin chaud ! Par contre effectivement ils chaussent petit . Mon mari fait du 44/45  et je lui ai pris du 46 qui lui va très bien.</t>
  </si>
  <si>
    <t>Bon produit pratique Bon produit, très pratique pour le séchage des biberons. Ne prend pas trop de place sur le plan de travail. Les couleurs sont sympa. Par contre, la gouttière permettant de récolter l’eau n’est pas très large et tout est en plastique (d’où les 4/5 en matière de solidité)</t>
  </si>
  <si>
    <t>belle et lumineuse C’est une belle bouilloire d’une grande contenance (1,7 litre) dont la particularité est de s’illuminer en bleu lorsque l’eau chauffe. Joli design moderne en verre et acier chromé et belle qualité pour cette bouilloire qui est bien stable et très maniable, son couvercle s’ouvre d’une pression sur le manche et elle atteint l’ébullition rapidement. Bien compacte, elle occupe peu l’espace et elle offre visuellement un indicateur par le biais du dessin d’une petite tasse, bien pratique lorsqu’on a une petite quantité à chauffer. Ce qui fait sa beauté est aussi  un inconvénient car les parois de la bouilloire en verre sont très chaudes lorsqu’elle est en marche et le tartre les ternit très vite même en utilisant de l’eau de source, il faut donc régulièrement la faire fonctionner avec de l’eau additionnée de vinaigre d’alcool pour qu’elle retrouve tout son éclat, au moins tous les deux ou trois jours en cas d’usage répété et cela devient vite contraignant</t>
  </si>
  <si>
    <t>joli gadget fun mais des coté pratiques. les mesures en pluysieur normes aident</t>
  </si>
  <si>
    <t>casque Je cherchais un casque sans fil pour écouter la musique en tondant ma pelouse. Je l'ai trouvé avec ce casque qui en plus d'avoir été livré en 24h, de ne pas l'avoir payé cher, le son est vraiment vraiment bon. Je n'entend presque plus le bruit de la tondeuse et la corvée de tondre la pelouse et maintenant devenue un moment rock... Je vous recommande ce casque</t>
  </si>
  <si>
    <t>Taille Parfait, à rempli les objectifs fixés lors de l’achat</t>
  </si>
  <si>
    <t>Cadeau de naissance parfait A mettre sur toutes les listes de naissances! Ce kit est parfait pour bien débuter avec son nouveau-né. Il contient des biberons (2 petits et 2 grands), un goupillon de nettoyage et une sucette pour nouveau-né. Ces biberons sont un peu différents de ceux que j'utilisais, la valve anti-colique est en fait une tige qui va presque jusqu'au fond du biberon. En plus cette tige est réactive à la chaleur...si le lait est trop chaud la tige l'indique. C'est un petit plus très utile .  Les tétines sont bien adaptées aux bébés allaités mais conviendront à n'importe quel nouveau né.  Un super kit!</t>
  </si>
  <si>
    <t>Trop bien! Je fais du 42 normalement et j’ai dû prendre taille 40 de ce modèle. Des vrais chaussons!</t>
  </si>
  <si>
    <t>Cette montre est très utile pratique et joli Pour mon travail ,quand je sors en bateau  ,Pour me baigner</t>
  </si>
  <si>
    <t>Parfait pour les novices en quête de qualité! Je cherchais depuis longtemps un casque de bonne qualité sans pour autant me ruiner, simplement pour écouter de la musique (quel bonheur de lire des fichiers en FLAC au passage), le son est d'une pureté incroyable, surtout pour ce prix là...</t>
  </si>
  <si>
    <t>miracle quelle aubaine pour les douleurs lombaires, la nuque, les épaules meme entourée sur la cuisse contre les crampes, chaleur bien repartie et reglable</t>
  </si>
  <si>
    <t>Excellent rapport qualité prix Produit arrivé avec une sacoche de transport. Très beau et agréable à porter, prévoir 0.5 de taille en plus de mon côté. Au top pour de la ville et du sport en salle, néanmoins ne tiendra pas le choc en course à pied ou randonnées.</t>
  </si>
  <si>
    <t>soutien gorge trés bon produit je recommande merci</t>
  </si>
  <si>
    <t>montre parfaite et peu couteuse Elle a tout: étanche, 10 ans d'autonomie, une précision digne d'une montre suisse, 5 alarmes, 5 fuseaux horaires, un look proche de la seiko sport 1000, un bracelet métallique solide, une bonne lisibilité de l'écran, un très bon éclairage. Le seul défaut: la date est difficilement lisible.</t>
  </si>
  <si>
    <t>Ravi de mon achat En ville et ou au boulot (intérieur) originalité/simple elle plaise. légère et agréable à porter</t>
  </si>
  <si>
    <t>Réveil en douceur et en couleur Parfait pour les durs d’oreilles au réveil ! Lumière et son agréables ; bien lire la notice car plusieurs réglages</t>
  </si>
  <si>
    <t>papier toilette je recommande au clients de l'acheter moi a chaque je commande sa reste longtemps très bonne marque très doux pas très chère surtout vous êtes tranquille</t>
  </si>
  <si>
    <t>Résultat à la hauteur de mes attentes Utilisé sur deux paires (de la marque Hudson, je les ai payées autour des 100 euros) que j'ai depuis deux ans, sans jamais les avoir traitées auparavant. Le résultat est clair, je suis satisfait du produit.  Les instructions sont toutes simples et écrites sur le produit. J'ai personnellement utilisé un vieux t-shirt coton pour l'application, ce qui marche très bien.  Je recommande !</t>
  </si>
  <si>
    <t>Parfaitement parfait Chaussettes solide , parfait pour mes chaussures de sécurité</t>
  </si>
  <si>
    <t>These boots are made for walking Livrées dans les délais, ces boots correspondent parfaitement à leur description, excellente fabrication. Sitôt arrivées, sitôt chaussées et le confort est au rendez vous. Quant à leur durée de vie? On verra plus tard...</t>
  </si>
  <si>
    <t>palette incomplete bonjour c 'est la deuxième fois que je commande ce produit et dans les deux cas im manque deux crayon de couleurs</t>
  </si>
  <si>
    <t>Vraiment trop petit Déçue par la taille qui est vraiment trop petite par rapport aux standards. Point de vue qualité, le tissu parait très très fin.</t>
  </si>
  <si>
    <t>Originales mais pas conformes J'ai acheté deux paires de timberland sur amazon aux pointure 7.4 / 41 EU (Marron et noire) . La première me va parfaitement . La deuxième paire celle ci (noire) me serre beaucoup trop au pieds droit. De plus les bottes font énormément de bruit quand je marche avec. Sinon la livraison est assez rapide sous 3 jours ouvré. le produit est de qualité. Je suis juste déçu que je sois victime de faute de fabrication.</t>
  </si>
  <si>
    <t>Bague double phalange Jolie bague cependant par rapport à la photo je m'attendais à mieux mais cela reste un joli bijo à porter.</t>
  </si>
  <si>
    <t>hyper confortable mais pour ça, j'ai du renvoyé la paire que j'avais commandé en 39,5 (une demi pointure en plus que ma taille habituelle en Clarks) et je les ai prises en 41. dans le 39,5 j'ai mis un temps fou à en mettre une et encore plus à la retirer. Maintenant avec la nouvelle taille, je suis comme dans des chaussons</t>
  </si>
  <si>
    <t>Sympa Je m'attendais à une lampe un peu plus petite, j'ai mal lu la description.  Très légère donx on peut la déplacer sans problème un peu partout. Ne chauffe pas et la lumière est vraiment puissante.  Je ne l'ai pas depuis assez longtemps pour parler de l'efficacité sur le long terme. Mais elle m'aide à me motiver le matin</t>
  </si>
  <si>
    <t>Très bon choix Conforme a la commande très bonne qualité hors mis quelques files qui dépassent mais rien de significatif Et livré avec deux semaines d'avance 👍 Je recommande</t>
  </si>
  <si>
    <t>Bon produit, de qualité, un peu fort en basse Utilisé depuis 3 semaines, un bon rapport qualité prix. Bonne qualité audio, trop de basse à mon gout. Ça se corrige bien avec un égaliseur. Bonne tenue et confort oreilles. Réception bluetooth sans surprise, au moins 10m. Je bosse en openspace et atténuation du bruit écouteurs sur off très bonne (passif) Boitier de charge très correct.</t>
  </si>
  <si>
    <t>bon produit article conforme et de bonne qualité. remplie parfaitement sa mission, bonne resistance des pages</t>
  </si>
  <si>
    <t>Qualité de son impeccable à petit prix Apres 5 jours d'utilisation les écouteurs fonctionnent parfaitement. La qualité du son est excellente et l'appareil offre une bonne autonomie en plus du boîtier rechargeable qui permet de charger deux fois les écouteur Des bouton sur chaque écouteurs permettent de faire passer la musique ou de la mettre en pause Je recommande</t>
  </si>
  <si>
    <t>Pull capuche Viper Taille parfaite (je fais 1m85 pour 75kg environ et j'ai pris un taille L), très bonne coupe. Je suis très satisfait de cet achat. Pas encore tester en extérieur mais il semble tenir assez chaud. Seul petit bémol, la capuche est un peu serrée quand on la met (trop "collée" sur la tête).</t>
  </si>
  <si>
    <t>JADORE Produit conforme à la photo ,belle qualité ,taille bien.  je recommande !</t>
  </si>
  <si>
    <t>nikel pour une fan de Converse telle que moi j'avais un peu peur de commander sans essayer qu'elle ne fut pas ma surprise quand j'ai reçu la paire, aussitot reçue aussitôt essayée elle me va impeccable taille parfaitement en taille 40  je conseille et pour le prix on n'hésite pas une seule seconde</t>
  </si>
  <si>
    <t>super modèle très  bien très solide et tiennes bien le pied. Je reprends les memes les yeux fermés</t>
  </si>
  <si>
    <t>énorme le rouleau est énorme et ne rentre pas dans mon distributeur... MAIS le film plastique est vraiment beaucoup supérieur à celui des marques qu'on trouve en grande surface. Et ça compense largement.</t>
  </si>
  <si>
    <t>super à l'aise dedans Franchement c'est exactement ce que je voulais,je les avais déja commander l'année dernière et je me sens super à l'aise dedans,je recommande vivement cet article.</t>
  </si>
  <si>
    <t>Un des plus beaux livres sur Noël... Extrait de la page Facebook Livres Préférés de mes Enfants  La fin de l'année approche. Les sapins rêvent de la robe qu'ils porteront le soir de Noël. Dans l'ombre des grands arbres, il y a un tout petit sapin qui les écoute. Verra-t-il lui aussi son rêve se réaliser?  Points Forts :  - Magnifique histoire de Noël ! ! Rêve, poésie, imaginaire…  - Aborde Noël d’un biais original, du point de vue des sapins sans Père-Noël ni cadeaux.  - Montre que la réalité peut parfois être encore plus belle que le plus beau de nos rêves ! !  - Aborde avec poésie et délicatesse les thèmes de la différence et des goûts personnels.</t>
  </si>
  <si>
    <t>Bonne qualité Le bracelet blanc est un peu plus petit que le noir, et ils ont parfaitement la bonne taille pour nous (nous avons des poignets plutôt fins..). Les pierres sont belles et ont l'air de bonne qualité, la couronne cependant a déjà perdu un peu de couleur pour la partie contre la peau (en deux jours de forte chaleur). Il y a deux fils élastiques ce qui rassure quant à la durée de vie des bracelets. En bref, un très bon achat pour ma part, mais méfiez-vous si vous avez un gros poignet.</t>
  </si>
  <si>
    <t>Très bon rapport qualité/prix Cafetière design vintage Fait peu de bruit, rapide, maintien du café au chaud 40 minutes Grande contenance. Très bon rapport qualité/prix</t>
  </si>
  <si>
    <t>BELLE SURPRISE ! Pour le prix, on s'attend à avoir un gadget... Mais une fois reçu et testé, une belle surprise. Silencieux, simple d'utilisation (plus simple, c'est impossible), 2 boutons, un pour régler la lumière de son choix dans toutes les couleurs de l'arc en ciel. L'autre bouton pour diffuser une ou plusieurs heures. S'arrête automatiquement lorsqu'il n'y a plus d'eau ou lorsque le timing est terminé. Un design sympa, qui malgré le matériau plastique, fait un bel effet bois. Dès qu'on le lance, il diffuse immédiatement (1 seconde).  Autre détail appréciable, un long câble d'alimentation !  Bref, absolument rien à dire. Tout y est, qualité, prix, efficacité et design.</t>
  </si>
  <si>
    <t>Parfait Parfait , 41 femme juste et confortable . Je recommande.</t>
  </si>
  <si>
    <t>Très utile ! Un excellent chauffe biberon mais pas que , tous ses modes dont le système de décongélation fonctionne extrêmement bien. On apprécie la possibilité de mettre deux biberons en même temps Les boutons réagissent très bien</t>
  </si>
  <si>
    <t>très bien Satisfaite de cet achat pour ma fille. La taille, la couleur, et le prix rien à redire. Parfait pour une adolescente !</t>
  </si>
  <si>
    <t>Déteins sur la peau L'alliage de métal à déteins sur la peau de ma femme qui lui a laissée une marque bleu tout autour du cou à cause de la chaîne et l'arrière du bijou deviens tout rose. Dommage car le bijou en lui même est beau  mais son pris de base ne doit pas être à 100E, vue la qualité il mérite bien son 30e</t>
  </si>
  <si>
    <t>Très déçu L'extérieur est de bonne qualité par contre les semelles se sont désagréger en très peu de temps. J'ai du racheter une semelle et un coussin en gel pour remplacer le tout</t>
  </si>
  <si>
    <t>Tissus de très mauvaise qualité La description fait état d'un mélange de coton, en fait c'est du synthétique avec un touché presque plastique qui est très désagréable et pas joli du tout. J'ai envoyé une demande de retour mais le vendeur ne semble pas disposé. J'attends de voir comment cela va évoluer. Je suis déçue qu'Amazon accepte des vendeurs qui ne jouent pas le jeu et qui se permettent des descriptions mensongères.</t>
  </si>
  <si>
    <t>cellule ibizacart Le son est moyen et personnellement j'ai le son en mono peut être une autre panne ( faudrait t'il régler la position de la cellule)</t>
  </si>
  <si>
    <t>Joli mais ne servira pas....:-( Habituée des biberons Mam, très déçue de mon achat. J'utilisais jusqu'ici les biberons dotés du système anti coliques. Avec ce modèle, ma fille a beaucoup de mal à boire car la tétine s'aplatit malgré la petite fente sur la base de celle-ci destinée à faire passer l'air. Du coup elle s'étouffe sans arrêt. Il ne me reste plus qu'à racheter de suite le modèle anti coliques de 320 ml et je laisse celui ci au fond du placard :-(</t>
  </si>
  <si>
    <t>solac masseur appareil complet, très efficace !! jambes plus légères mais il faut le faire au moins 10 minutes par jour.A recommander à 100%.</t>
  </si>
  <si>
    <t>Aicok Bouilloire électrique 2200W petite bouilloire mignonne et sympa bon rapport qualité prix</t>
  </si>
  <si>
    <t>Pratique et facile à utiliser Super facile de remplir les petites gourdes et tellement pratique à prendre avec partout! Franchement je suis fan. Je n'avais pris que les gourdes du pack mais je vais en recommander! Bébé adore et franchement quel gain de place!!! Petit conseil: Il faut acheter la petite brosse aussi, cela facilitera le nettoyage des gourdes (Fill n Squeeze Reusable Pouch Cleaning Brush)</t>
  </si>
  <si>
    <t>Ca marche, mais... J'avais commandé ce produit en particulier car j'avais vu qu'en plus il y avait les ajusteurs plats, qui me correspondaient plus niveau esthétique, pourtant j'avais vu que ça ne marchait pas bien... Alors j'ai voulu avoir les deux.  Constat : J'ai voulu utiliser les ajusteurs qui s'enroulent, mais comme l'anneau de ma chevalière est plat et pas rond, ça marche pas de fou... Les ajusteurs plats viennent en multiples tailles différentes, et en DOUBLE (ça a son importance), et : 1 : Esthétiquement c'est très discret 2 : Ca marche exactement comme je l'avais espéré : très bien 3 : Certes ça tombe des fois, mais je n'ai pas voulu mettre le collant fourni avec car ça doublait la taille donnée en plus par l'ajusteur. Après ça ne me dérange pas de le remettre à chaque fois, donc c'est comme vous le sentez. Par contre, si vous le faites tomber, bon courage... Transparent comme c'est, j'en ai déjà perdu un (au bout d'une semaine d'utilisation), donc comme quoi, le fait que ce soit en double compte ! Si vous voulez que ça tienne, je conseillerai de mettre un point de colle forte, mais après bon courage pour l'enlever... Donc le mieux c'est de faire attention  Pour résumer :  Je ne me prononce pas sur les ronds, ça ne me convient tout simplement pas. Les plats sont très discrets et marchent bien, mais attention au collant qui est très épais. Mais sans ça, ça va souvent tomber. Mais je recommande quand même, le produit remplit parfaitement son office.</t>
  </si>
  <si>
    <t>Très bonne qualité Les feutres sont neufs et de bonne qualité, ils fonctionnent tous. L'assortiment de couleurs me convient, à ce prix c'est une offre très intéressante, merci beaucoup !</t>
  </si>
  <si>
    <t>RENAPUR J’ai utilisé Renapur pour nettoyer et entretenir les sièges en cuir de mon véhicule. Resultat impeccable. Éclat retrouvé, odeur très agréable !!! Entièrement satisfait.</t>
  </si>
  <si>
    <t>Très pratique Très sympa esthétiquement et surtout très pratique. Les matériaux semblent être de bonne qualité.</t>
  </si>
  <si>
    <t>Excellent casque vendeur moyen MAJ: le fournisseur vous insite a mettre un commentaire et vous demande la preuve pour avoir un bon d'achat etc... unz fois le commentaire posté plus de nouvelle, ne repond pas aux mails...Produit de qualité, s'adapte bien à la tête, son excellent pour gamming stereo</t>
  </si>
  <si>
    <t>produit parfait j'ai fait la meilleure affaire sur la nouvelle collection pendant les soldes le choix de couleur bien ravie de cet achat</t>
  </si>
  <si>
    <t>belle et intuitive batterie d'une journée au max très belle montre avec toutes les fonctionnalités qu'il faut (sport et multimédia) j insiste sur la beauté de cette montre elle fait vraiment très classe, sincèrement je la préféré de loin sur la Galaxy de Samsung -</t>
  </si>
  <si>
    <t>Au top Au top, très classe</t>
  </si>
  <si>
    <t>Bein Achetez Pour ma fille elle était super contente conforme à la photo</t>
  </si>
  <si>
    <t>Pratique Très bien</t>
  </si>
  <si>
    <t>Idéal kit nouveau né Lot complet de biberon pour bébé . Je l’ai offert à ma soeur elle est ravie de ce lot . Facile à nettoyer et à utiliser</t>
  </si>
  <si>
    <t>Masseur pied 5kg &lt;div id="video-block-R1SV7XGSVHR8X0"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id="103" preload="auto" src="https://images-eu.ssl-images-amazon.com/images/I/B1G482iDgmS.mp4" style="position: absolute; left: 0px; top: 0px; overflow: hidden; height: 1px; width: 1px;"&gt;&lt;/video&gt;&lt;/div&gt;&lt;div id="airy-slate-preload" style="background-color: rgb(0, 0, 0); background-image: url(&amp;quot;https://images-eu.ssl-images-amazon.com/images/I/91OSl-QuXCS.png&amp;quot;);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value="https://images-eu.ssl-images-amazon.com/images/I/B1G482iDgmS.mp4" class="video-url"&gt;&lt;input type="hidden" name="" value="https://images-eu.ssl-images-amazon.com/images/I/91OSl-QuXCS.png" class="video-slate-img-url"&gt;&amp;nbsp;Parfait après une journée de travail ou même après le sport waaaa lol j ai un durillon au pieds et ça me soulage vraiment..pression des doigts, pétrissage, rouleau, coussin gonflable et fonction de chauffage.Attention cependant à respecter les 15 minutes et de ne pas trop appuyer avec les jambes, vous risqueriez de vous faire mal mais sinon c est un appareil agréable, a voir dans le temps...</t>
  </si>
  <si>
    <t>pratique et tres leger mon mari est très content de petit sac, il est léger, plein de poches à l'intérieur, soit pour portable soit pour lunettes, il peut ranger plein de choses, la lanière n'est pas trop grande, bref il lui plait beaucoup.</t>
  </si>
  <si>
    <t>Belle Basckets La taille correspond. Elles sont bien blanche et confortable. Reçu rapidement. Bien pour l'été. Va bien avec toute les tenues.</t>
  </si>
  <si>
    <t>super produit!!! vendeur tres professionel!!! genial au top Génial!!!! Super rapide niveau livraison. Le professionnalisme du vendeur est parfait avec papier de garantie noté et tamponner. C'est montre paraît petite dans ça boîte mais me va très bien au poignet!!! 5 minutes pour la réglée</t>
  </si>
  <si>
    <t>excellente chaussure nous en sommes ravis, confortables, nettoyable facilement notre fils de 11 ans pourtant insupportable à habiller les adore !! on recommande</t>
  </si>
  <si>
    <t>Reçu en mauvais état et de mauvaise qualité J'avais racheté pour 2,59 € au total le modèle 3 chaînettes avec cristaux gouttes Swarovski. J'ai reçu un article de qualité moindre, avec des cristaux ne correspondant pas à mon premier achat. Et les chaînettes, qui avaient dû être écrasées, ne voulaient pas reprendre une forme tombante. J'ai donc demandé un nouvel article correspondant à ma commande. Le vendeur n'a pas du tout pris en compte ma demande ni ma réponse, et a procédé au remboursement. Le prix de ces boucles étant très fluctuant, si je veux racheter ces boucles d'oreilles, je devrai payer 3 à 4 fois plus cher.</t>
  </si>
  <si>
    <t>Défectueux Je suis très déçue, la fonction Bluetooth du casque ne fonctionne pas du tout... Au prix qu'il est et étant donné que c'est sa fonction principale, c'est vraiment dommage ! De plus, l'assistance m'a dit qu'elle me mettrait en contact avec le SAV de Marshall directement et ça n'a jamais été fait !</t>
  </si>
  <si>
    <t>Nul’ J’ai ouvert mon paquet et il yavait rien dedans</t>
  </si>
  <si>
    <t>Beau mais... Il est beau, semble de bonne qualité(a voir dans le temps) mais à 1 défaut: le cuir déteint sur les vêtements clair.</t>
  </si>
  <si>
    <t>belle paires de chaussures de securité Bonjour Je les ai acheté pour la forme et avoir une paire légère. Etant formateur, en atelier elle sont légère. Par contre en utilisation intense prendre autre chose prévu pour.</t>
  </si>
  <si>
    <t>Tient chaud Bon produit, mais la housse laisse bcp de peluche sur le tissu</t>
  </si>
  <si>
    <t>A4 MX410 BLACK EXELLENTE FEUILLE POUR IMPRIMANTE MX 410 CES DU SOLIDE .. DONC JE LA RECOMMENDE 10 SUR 10.  JEANCLAUDE  AIX EN PROVENCE</t>
  </si>
  <si>
    <t>Tres belle Le loock est juste sublime, tres belle bouilloire qui malgré ses 1L7 semble menue Arret automatique top  Petite lumière blue quand l'appareil est ennmarche c est appréciable. Elle est quand même tres brulante quand elle chauffe Je trouve qm le temps de chauff assez long, il faut compter quasiment 6min pour chauffer 1l7 d'eau...c'est un peu long a mon goût .</t>
  </si>
  <si>
    <t>conforme à la description Pour l'instant satisfait bon confort bonne tenue</t>
  </si>
  <si>
    <t>Belle qualité Paillettes de belle qualité, quasiment sans parfum. Je m'en suis servie jusque-là pour faire de la lessive maison. Le produit est parfait !</t>
  </si>
  <si>
    <t>Produit reçu pour avis. Produit de bonne qualité, très fin et compact. Il relis mon vidéo projecteur à mon enceinte. Pas de perte de qualité audible.Les connecteurs sont plaqués or pour une meilleure transmission du signal.Rempli sa fonction. Je recommande.</t>
  </si>
  <si>
    <t>Etonnant rapport qualité prix - bluffé J'ai cherché pendant des heures des écouteurs true free (sans fil). J'avoue avoir eu beaucoup de mal à me décider vu les écart de prix. Pour la plupart des modèle à 50€-100€ tout le monde à la même remarque, pas de basse... et bien ces écouteurs en ont. Le son n'est pas parfait, il n'est spécialement fort (mais je n'arrive pas a les mettres à fond quand même) mais franchement rapport qualité prix je suis vraiment bluffé. Je les ais acheté pour faire du sport, et je suis encore surpris qu'il tienne aussi bien (je suis dans une salle de fitness, course, eliptique et muscu). Pourtant j'ai souvent des problèmes a trouver des écouteurs qui tiennent dans mon oreille. Le boitier est tout petit et à l'aire de bien tenir la charge, aucun problème appairage.  En bref, je suis surpris, je ne connaissais pas la marque, j'ai fait confiance au commentaire et je suis vraiment content. Je ne met jamais 5 étoiles car je ne me sent jamais complètement satisfait, mais là encore une fois vu le prix je ne vois pas comment on pourrait demander mieux. Tout est nickel.</t>
  </si>
  <si>
    <t>On les a très vite il taille très bien merci continue comme ça Très pratique légère on est bien dedans et il taille très bien</t>
  </si>
  <si>
    <t>Bon rapport qualité prix Très beau livre offert à un enfant de 6 ans. Il se l'ai très vite approprié pour chercher les réponses à toutes ses questions... La présentation est très ludique pour des enfants. Il est facile à lire et ponctué et jeux et anecdotes ce qui le rend encore plus attrayant</t>
  </si>
  <si>
    <t>C'est elle qu'il me fallait En effet cette montre est exactement ce que je voulais . elle est très pratique avec toutes les fonctionnalités dont j'ai besoin et en plus elle est très légère .</t>
  </si>
  <si>
    <t>Confortable et légère Article reçu rapidement, conforme à la description. Elles sont très confortable, légère et souple. Le guide des pointures est fiable. Je prends habituellement du 41 et d'après le guide je devais m'orienter sur le 42, ce que j'ai commandé, et elles sont nickel. A voir dans le temps comment elles vont résister en utilisation normale</t>
  </si>
  <si>
    <t>Bon produit super rapport qualité/prix</t>
  </si>
  <si>
    <t>Parfait ! Ce micro est parfait pour mon usage, mes abonnés Youtube vont me remercier pour leurs oreilles :D S'adapte parfaitement à mon Panasonic Lumix DMC-FZ200. J'ai simplement dû acheter un adaptateur de Jack pour passer du 3.5mm du micro au 2.5mm de l'appareil photo.</t>
  </si>
  <si>
    <t>Jolie. Conforme à la commande. Satisfait des boucles d’oreilles. 👍</t>
  </si>
  <si>
    <t>Mon meilleur achat C'est incroyable. Cette perche est d'une qualité incroyable. Je ne pourrais plus m'en passer a présent.</t>
  </si>
  <si>
    <t>microphone merveilleux et haut-parleur sans fil Je l’ai acheté pour mon mariage afin que tous les invités puissent m’entendre. Facile à appairer et à utiliser. J’aimerais bien que la lumière puisse être plus brillante, mais il reste un produit de bon rapport qualité prix.</t>
  </si>
  <si>
    <t>La science à la portée de tous : c'est magique La qualité pédagogique des ouvrages scientifiques anglo-saxons.  De nombreuses expériences permettant de voir et comprendre (sinon de s'interroger) les grands principes de la physique, la chimie et la biologie. Les enfants aiment beaucoup car c'est en général assez facile à réaliser et l'effet est souvent spectaculaire comme un tour de magie. A partir de 7 ans (avec l'aide d'un adulte).</t>
  </si>
  <si>
    <t>Fait le job Fonctionnel ,fait ce qu'on attend d'un trieur nomade</t>
  </si>
  <si>
    <t>Excellent produit Ce micro est très facile a installer. La qualité du son en sortie est vraiment plus que correct.  J'ai vraiment l'impression d'utiliser du matériel de professionnel pour un prix réduit. Juste ce qu'il me fallait</t>
  </si>
  <si>
    <t>Trop petit pour un bébé de 4 mois Le collier est trop petit pour mon bébé. on fait à peine le tour du cou.</t>
  </si>
  <si>
    <t>Écouteurs pas dans la boîte ! Reçu la boîte sans blister, et rien dedans !!  Intolérable. J’ai du me rendre en boutique pour les acheter (absolument besoin pour le jour en question).  Déçue !!!!</t>
  </si>
  <si>
    <t>attention ne vous faites pas avoir j ai commandé ce produit car j étais en panne et je pouvais me faire livrer dans la journée livraison top  mais quelle déception en ouvrant mon colis les rouleaux sont tellement vieux qu ils sont tous noirs : une honte de mettre en vente des  produits autant délabrés dans l état où ils sont ils devraient être jetés ou donnés</t>
  </si>
  <si>
    <t>Joli mais ... Ensemble joli, fin et discret mais se terni très vite et peu solide. A porter lors d'une occasion particulière mais ne pas s'attendre à ce qu'il dure dans le temps, le prix étant ce qu'il est... Pour un meilleur effet, à accompagner du bracelet&amp;nbsp;&lt;a data-hook="product-link-linked" class="a-link-normal" href="/Bracelet-Femme-Coeurs-Entrelacés-Cristal-Blanc/dp/B00BQGT0IU/ref=cm_cr_arp_d_rvw_txt?ie=UTF8"&gt;Bracelet Femme Coeurs Entrelacés - Cristal - Blanc&lt;/a&gt;</t>
  </si>
  <si>
    <t>Une bonne bouilloire Ma bouilloire Tefal a douze ans, elle fonctionne toujours mais voilà le plastic des niveaux sur les cotés s'effritent! j'ai donc avec un bout de plastic et de la colle réparé ce problème pour continuer à faire chauffer mon eau. La chaleur ramollie la colle même forte. Vu que la marque ne fait pas de pieces j'ai donc racheté celle ci. Plus petite et très légère je l'ai trouvé dans ma boite aux lettres! Première utilisation pas de bruit! Et depuis la deuxième utilisation un bruit bien important ce qui est normal pour une bouilloire. Cela dit de moins bonne qualité que ma veille qui fonctionne toujours. Le socle est en plastique contrairement a ma veille qui est toute en inox. Le dessus très fin donc fragile et a tendance à s'ouvrir tout seul dès que l'eau chauffe et il  y a même de la condensation sur le dessus. Je doute qu'elle dure aussi longtemps que l'ancienne et comme tout produit qui était de qualité dans le passé est devenu bien médiocre aujourd'hui. Simple et utile et pas chère.</t>
  </si>
  <si>
    <t>Montre au top Très sympa. Merci beaucoup bonne qualité prix</t>
  </si>
  <si>
    <t>Produit correspondant à ce qui est demandé Les tétines sont très bien acceptées par ma fille! Le rapport qualité-prix est bon.</t>
  </si>
  <si>
    <t>Casque de bonne qualité Ce casque est plutôt bon dans l'ensemble bien que les matériaux ne soient pas très premiums le son 7.1 et le micro font de ce casque un excellent rapport Qualité/Prix. Je le recommande pour les budget sérrés mais qui recherchent la qualité !</t>
  </si>
  <si>
    <t>Ludique et simple à mettre en place Acheté pour ma mère. Elle est comblée. L'appairage en bluetooth ne pose aucunes difficultés. Le son est pas trop mal et il y a plusieurs touches pour atténuer le son d'écho. Les lumières sont sympas et permettent de s'intégrer dans l'ambiance.</t>
  </si>
  <si>
    <t>Sacoche type holster Livraison très rapide et produit conforme à la description. Maintenant ce sera le temps qui fera son office quant à démontrer la longévité du produit.</t>
  </si>
  <si>
    <t>au top très joli , de bonnes dimensions, fonctionne très bien. Bon rapport qualité prix.</t>
  </si>
  <si>
    <t>Un massage efficace et ciblé, plusieurs modes, un vrai bijou de technologie a petit prix ! &lt;div id="video-block-RFAW9UDYZ0MHD" class="a-section a-spacing-small a-spacing-top-mini video-block"&gt;&lt;/div&gt;&lt;input type="hidden" name="" value="https://images-eu.ssl-images-amazon.com/images/I/B1VypTc8+NS.mp4" class="video-url"&gt;&lt;input type="hidden" name="" value="https://images-eu.ssl-images-amazon.com/images/I/91MTa-nKROS.png" class="video-slate-img-url"&gt;&amp;nbsp;Un vrai bonheur ! J'ai découvert cet appareil de massage en plus petit format chez une amie et moi qui souffre de problèmes de dos, autant vous dire que j'en rêvais. Je travaille beaucoup et n'ai pas vraiment le temps d'aller me faire masser. Avec ce siège massant, je peux combiner travail et détente 😛 installé sur mon fauteuil de bureau, je me fais ma petite séance quotidienne. Il s'installe en un tour de main sur n'importe quelle chaise ou fauteuil grâce a une sangle élastique a scratch qui maintient bien le dossier. Une télécommande qui se glisse dans sa petite poche vous permet de choisir quel type de massage vous souhaitez (dos entier, bas du dos, épaules) et vous pouvez ou non activer le mode chauffant (les balles deviennent rouge). Un seul regret, ne pas l'avoir acheté avant !!!</t>
  </si>
  <si>
    <t>QUO VADIS = qualité Fidèle de la marque, je suis très satisfaite de mon achat - en ce qui me concerne, une référence  depuis de nombreuses années......</t>
  </si>
  <si>
    <t>Bien Très très bien Doux Taille bien Conforme</t>
  </si>
  <si>
    <t>Produit Durable et agréable... Perfecto....</t>
  </si>
  <si>
    <t>Super article appareil rechargeable, ça c'est vraiment bien, qualité super, rien à redire, il est bien fait et les matières sont agréables. D’où  , sensation beaucoup de plaisirs , c'est pas mal et les différents modes permettent de varier les plaisirs  merci</t>
  </si>
  <si>
    <t>Une Référence !!!!! Casque solide, qui tient bien sur les oreilles et isole assez bien... attention, pour certains comme moi, les oreilles peuvent chauffer au bout d'un moment (le casque sert assez fort mais c'est le prix d'une bonne isolation). Bonne longueur de câble et j’apprécie la possibilité de réglage sur la tête. Bon son et surtout rendu assez neutre (outil pro reconnu).  C'est l'hiver, je vais le ressortir ;). &amp;gt;&amp;gt; Petit point négatif... pour l'été, du fait qu'il sert pas mal, il doit être difficilement supportable dans la durée.</t>
  </si>
  <si>
    <t>Produit de qualité. A mes yeux, ces encres sont toujours trop chères (autant que le parfum DIOR sans en avoir le même charme !!!)</t>
  </si>
  <si>
    <t>Entièrement satisfait Entièrement satisfait. Un assortiment de parfum varié qui permettent d’etre utiliser à chaques saisons ... des parfums frais et fruité pour l’été et des parfums fort et épicé pour l’hiver. Très bonne tenue dans le temps. Et en plus très bon rapport qualité prix. Je recommande cette assortiment !</t>
  </si>
  <si>
    <t>Le top du confort Après une opération du pied, je recherchais des chaussures confortables et sympas ; elles sont parfaites. Leur semelle intérieure à mémoire de forme offre un confort inégalable. Le tissu est très souple et aéré et ne serre pas le pied. Le coloris choisi (bleu gris) se marie bien avec toutes les autres couleurs. Je les porte aussi bien avec des pantalons qu'avec des robes, et font un look sympa.  J'adore.</t>
  </si>
  <si>
    <t>Parfait Acheté pour mes memos de tous les jours, pointe fine, s'efface très bien à l'eau</t>
  </si>
  <si>
    <t>Conforme Aucune attente particulière vis à vis d'un tel produit de grande consommation. C'était donc conforme à ce qui était attendu.</t>
  </si>
  <si>
    <t>pas adapté pas adapté à un enregistreur numérique. je n'avais pas fait attention au connecteur jack 3 plots. livré sans adaptateur. sinon fonctionne sur smartphone. tant pis pour moi</t>
  </si>
  <si>
    <t>Fournisseur incompétent Commande d'un sweet homme couleur blanc, réception d'un tee shirt fille bleu.Envoi d'un message au fournisseur pour le changement en reprenant le libellé du produit. Résultat encore un tee shirt bleu pour fille de 12/14ans. Vraiment nul comme fournisseur</t>
  </si>
  <si>
    <t>7 conformes sur 8 Les produits sont conformes à l'exception du blanc ou il y a du marqueur noir marquer #55 + des traces marron donc le blanc n'est pas utilisable</t>
  </si>
  <si>
    <t>Petit et léger Bonne qualité à priori mais le sac est un peu petit à mon gout. Une fois, placés mon portefeuille, mon chéquier et quelques papiers, il ne reste plus beaucoup de place. De plus les fermetures éclairs sont assez durs : l'avantage, c'est que l'ouvrir (en cas de vol) est plus difficile ...</t>
  </si>
  <si>
    <t>Cartouches originales Ceci est mon premier achat de cartouches de cette marque, reste à savoir la durée de vie</t>
  </si>
  <si>
    <t>Ras Faire plaisir à petit prix</t>
  </si>
  <si>
    <t>RAS Conforme a la description</t>
  </si>
  <si>
    <t>Globalement satisfait Beau produit, attention seuls les deux grands côtés sont blanc (on ne le voit pas bien sur la photo) , les deux autres côtés sont en métal brossé. Facile à accrocher, pas aisé de placer les filtres aux charbon mais on y arrive. Il faut être très délicat avec les boutons contacts de ce genre de hotte car vous avez vite fait de provoquer un balancement, une hotte avec télécommande est plus adaptée.</t>
  </si>
  <si>
    <t>Satisfaite J'aime la couleur. Il est pratique pour les déplacements à glisser dans le sac à langer ou pour préparer des doses à la maison pour aller plus vite lorsque l'on doit preparer un biberon.</t>
  </si>
  <si>
    <t>Top qualité Rien à redire habitué à prendre ce produit</t>
  </si>
  <si>
    <t>Tétine avent Les Tétines sont adaptées aux liquides épais comme les soupes ou le lait épaissi....très bien. C'est un très bon produit.</t>
  </si>
  <si>
    <t>Efficace Suite a des maux de dos. J’ai acheter ce coussin, tres simple à utiliser. Tres efficace, chaleur diffuse et continu.</t>
  </si>
  <si>
    <t>Très satisfaite! C'est une petite sacoche et c'est exactement ce que je recherchais pour mon fils.. pile la place pour le porte monnaie, le natel et les clefs.. ça ne fait pas longtemps que je l'ai mais je pense qu'elle est suffisamment solide pour durer longtemps! Je recommande.</t>
  </si>
  <si>
    <t>Top Montre achetée pour un cadeau, qui a fait son effet. Livraison dans les temps.</t>
  </si>
  <si>
    <t>Bien pour Jet d’encre Papier de bonne facture</t>
  </si>
  <si>
    <t>j'en attendais pas moins Très bon t-shirt, respirant, évacue la transpiration et les mauvaises odeurs, confortable, a tendance à remonter au niveau des hanches</t>
  </si>
  <si>
    <t>Montre simple et solide Cette montre est discrète et pratique un classique.</t>
  </si>
  <si>
    <t>Efficacité casio Pour moins de 25 euros nous avons là une montre lisible en plein soleil comme en pleine nuit bien noire (rétroéclairage total de l'écran). Une alarme discréte par vibrations si on le désire (beep sonore ou bien vibrations au choix) cela fonctionne pour les alarmes mais aussi pour le beep horaire (sig) ces vibrations sont bien ressenties et modulées (changeantes) Un look gshock noir mate, 10 ans batterie, 100 métres étanchéité. Que voyez-vous à lui reprocher ? Cherchez bien... l'esthétique de la montre y  gagnerait nettement si les 4 vis qui encadrent l'écran étaient noires mate. Chromées comme elles le sont, elles piquent un peu les yeux !</t>
  </si>
  <si>
    <t>très bien ca marche bien, super ambiances pour les soirées, je vais pouvoir inviter plus souvent les amis à bénir chez moi</t>
  </si>
  <si>
    <t>Un pyjama sympathique Chaud, grand, confortable, ma fille adore ce pyjama. En plus, il supporte bien le lavage, les couleurs ne partent pas.</t>
  </si>
  <si>
    <t>balle eco très simple mon linge et naturellement plus doux et moelleux</t>
  </si>
  <si>
    <t>Très jolie Très jolie et j’espère que avec le temps on va avoir des résultats. Merci Amazon pour vos services. Mme Alexis</t>
  </si>
  <si>
    <t>Super Parfait merci</t>
  </si>
  <si>
    <t>Bof Citrine chauffée et non naturelle contrairement à ce que pourrait laisser croire la photo</t>
  </si>
  <si>
    <t>Décevant Pas du tout adapté pour le sport, aucun maintien. Je fais un 95E avec une taille XL=44 pour les hauts et la taille L est beaucoup trop grande. Ca baille !</t>
  </si>
  <si>
    <t>deja vide Imprimé 3 photos ..... la cartouche est déjà signalée par l'imprimante comme "vide" ????</t>
  </si>
  <si>
    <t>Bons sacs Des sacs à petits prix assez résistants. Attention tout de même à ne pas trop les charger. Les anses rouges peuvent en être fragilisées. D'ailleurs, je ne les aime pas trop ces anses. Pas très pratique et handicapent un peu l'ouverture du sac. D'autre part, ces sacs ne sont pas totalement étanches. Un peu trop de liquide dans votre sac et c'est le fond de votre poubelle qui sera tachée.</t>
  </si>
  <si>
    <t>La rapidité de livraison Pour offrir</t>
  </si>
  <si>
    <t>chausse juste reçu tres rapidement cette paire de chaussures est comme je l'ai vu sur le site. La taille est vraiment juste mais comme cette chaussure est en toile elle devrait se détendre un peu .</t>
  </si>
  <si>
    <t>Minerva n°46 Très bon produit, petit bémol sur le prix, un peu cher pour une simple règle avec des formes. Sinon très bonne qualité, beaucoup de formes de différentes tailles, et vendue avec une pochette très pratique pour ne pas l'abimer (surtout pour ceux qui en ont besoin pour le bac de géographie).</t>
  </si>
  <si>
    <t>Tres confortable De bonne qualité, bon maintient, très agréable à porter</t>
  </si>
  <si>
    <t>Bravo Top Agréable au poignet.</t>
  </si>
  <si>
    <t>recharge imprimante la recharge imprimante photo canon à un très bon rapport qualité prix</t>
  </si>
  <si>
    <t>Top Super confortable , aspect impeccable, on pourrait vraiment croire à des chaussures de ville . Je les utilise très régulièrement</t>
  </si>
  <si>
    <t>Bonne qualié et durable Il n'y a pas grand chose a dire sur ce produit si ce n'est qu'il est parfait, la qualité est au rendez vous, et l'on peut faire de nombreuses copies avec.</t>
  </si>
  <si>
    <t>Son impécable Casque vraiment très confortable, avec une très bonne qualité de son. Le réduction de bruit environnant est pas mal, et le Bluetooth est facile à mettre en place. En revanche, il n'a pas une très grande portée : compter 2 à 3 mètres. Le packaging est également assez sympathique.</t>
  </si>
  <si>
    <t>performances exceptionnelle pour un prix très modéré A ce prix, je doute que vous trouviez meilleur pour enregistrer la voix. Ce micro est livré avec l'anti vibration et l'anti pop, de très bonne qualité, ainsi qu'un câble XLR de très bonne qualité. L'usage préférentiel est la voix (studio), mais je l'utilise aussi pour le piano, et les résultats sont excellents. Il convient donc parfaitement pour la voix comme l'instrument. Le bruit de fond résiduel est le plus bas existant (5 dB!!!) et il est facile à utiliser avec un enregistreur numérique par exemple. Le rapport qualité prix est tout à fait exceptionnel.</t>
  </si>
  <si>
    <t>bonne taille produit parfait merci</t>
  </si>
  <si>
    <t>Parfaite Tres bon rapport Qualité prix !!!</t>
  </si>
  <si>
    <t>Très confortable, sobre et élégant Chaussures de danse achetées pour aller avec mes robes vintage 50's, elles sont telles que sur la photo, reçues en un temps record et taillent très bien. En plus, livrées avec des coussinets plantaires, super. Commandées avec une pointure au dessus et j'ai bien fait pour plus d'aisance (quand on danse les pieds ont tendance à gonfler). Je conseille ces chaussures.</t>
  </si>
  <si>
    <t>durable et de bonne qualité bonne qualité, facile à entretenir.</t>
  </si>
  <si>
    <t>Lacets pour les enfants et adultes... je suis très satisfait de mon collie est bien emballait que j'ai recommander une autre paire de lacet chez le même vendeur</t>
  </si>
  <si>
    <t>Efficace Habitant une grande maison un peu froide l'hiver, j'ai décidé d'acheter cette couverture .Ce sur-matelas est très efficace. Tout à fait bien. Bonne qualité. Selon le niveau de chauffe choisi température atteinte plus ou moins vite .</t>
  </si>
  <si>
    <t>Parfait Parfait parfait parfait, je recommande vivement.</t>
  </si>
  <si>
    <t>Bien Très joli sac de bonne qualité Les poches intérieure sont assez grande. Mon conjoint est ravi du style vintage</t>
  </si>
  <si>
    <t>Le sac Sac super, taille, couleur, matière,  finission...juste parfait, je recommande</t>
  </si>
  <si>
    <t>Veste polaire Veste super contente de mon achat et on a pas froid agréable à porter je le conseil et de bonne qualité</t>
  </si>
  <si>
    <t>Très bien Très bien bien fait solide et semble sérieux comme matériel..un peu lourd toutefois...mais top</t>
  </si>
  <si>
    <t>Pas très épais Déçu par ce produit Je m attendait a une matière sweat Et le pull est très très fin Dommage</t>
  </si>
  <si>
    <t>Nul En tant que couvreur zingueur aucun respiration très chaude et humide donc mauvaise odeur champignon je déconseille</t>
  </si>
  <si>
    <t>Pas top J'ai connu mieux avec une autre marque</t>
  </si>
  <si>
    <t>Pas très sécurisant Je ne suis par certaines des bienfaits de ce collier ca reste a voir dans quelques jours. Et niveau sécurité je suis pas rassuré, le collier ce visse du coup il ne ce détache pas tout seul.</t>
  </si>
  <si>
    <t>Plastique sur le couvercle Présence de plastique sur le couercle en contact avec l'eau qui chauffe. De plus le filtre anti calcaire possède des gros ce qui n'est pas très efficace. Déçu à première vue, j'attends de l'utiliser pour avoir un réel avis.</t>
  </si>
  <si>
    <t>ok conforme à mes attentes</t>
  </si>
  <si>
    <t>bonnets un peu grands bonnets un peu grands</t>
  </si>
  <si>
    <t>De bonne qualité Salut,  Livret avec 3 m de ruban impressions d'une taille de 12mm. Dommage qu'ils n'est pas fournis 7m directement.  Impression de qualité et facile d'utilisation. Néanmoins il faut 6 piles AAA. Je conseille donc une alimentation secteur 9V 2A sinon cela va coûter cher en piles.</t>
  </si>
  <si>
    <t>Pratique Moche mais pratique pour visiter les cours d'eaux. Taille grand.</t>
  </si>
  <si>
    <t>Super Très sympa prendre du xl pour du l j'en ai commandé 3 ravie.....</t>
  </si>
  <si>
    <t>Qualité J'en suis à 3 paires pour ce modèle! Qualité prix rien à dire. Couleur: correspond à la photo. Article arrivé rapidement. Pointure conforme à la taille indiquée.</t>
  </si>
  <si>
    <t>Ras Pas cher</t>
  </si>
  <si>
    <t>Un confort incroyable Après avoir lu les commentaires j'ai pris un 42.5 alors que  je chausse normalement du 43 mais il c'est avéré qu'elle était toujours trop grande ... Mais avec la rapidité d Amazon 5 jour après j'ai reçu du 42 et la parfait ! J'ai été agréablement surpris du confort de ces chaussures ! Au premier essai aucune douleur je me suis en faite jamais senti aussi bien dans des chaussure ! Le cuir est de très bonne qualité il faut l entretenir après ! J'aime le style chic qu'elles apporte ça fait un peu style anglais année 20 très élégant</t>
  </si>
  <si>
    <t>Parfait ! Je suis très comptent ! Le son est parfait, l'esthétique de la cellule est très bien et le rapport qualité/prix est excellent ! Seul bémol pour moi, sur ma platine Marantz TT2200, le broches étaient trop grande 'diamètre) pour les connecter à la cellules, mais un petit coup de pince à fait l'affaire !</t>
  </si>
  <si>
    <t>Écouteur noire &lt;div id="video-block-RKCH0JQD82ATM" class="a-section a-spacing-small a-spacing-top-mini video-block"&gt;&lt;/div&gt;&lt;input type="hidden" name="" value="https://images-eu.ssl-images-amazon.com/images/I/917jMD9cK2S.mp4" class="video-url"&gt;&lt;input type="hidden" name="" value="https://images-eu.ssl-images-amazon.com/images/I/A1cdyOv2w1S.png" class="video-slate-img-url"&gt;&amp;nbsp;Écouteur très bonne qualité Au vu de son tarif, et au niveau du  confort  écouteur a l'oreille je n'ai pas vu des choses négatif comme je fais d'endurance avec ces écouteurs là, et assez discret je trouve l'écouteur pas mal, et je m'attendais vraiment pas que le son fort ,  il est très simple à installer ,bon produit  à ce qui me concerne</t>
  </si>
  <si>
    <t>Un produit bien conçu...à voir sur la durée Je suis tr!ès agréablement surpris. Arrivée du colis de 13 kg bien emballé. Voilà un produit bien conçu qui fait du bon café et qui change des "machines à capsules" qui coûtent chères en consommables, sont peu respectueuses de l'environnement et qui souvent lâchent dans les deux ans. Les pires étant les machines qui paient le cachet de Georges le clownet ;-) Pour cette machine, réservoir d'eau généreux, tiroir pour récupérer le café usagé, flotteur alarme pour avertir du niveau de remplissage du réservoir d'écoulement (simple mais bonne idée), moue les grains de café, réglage de la finesse du café moulu, de la température, écran rétroéclairé bleu du meilleur effet... système de rinçage autonettoyant intégré et de préchauffe. Accepte les grains de café ou le café moulu (souplesse d'utilisation). Alarmes sonores d'eau insuffisante, de tiroir à café usagé plein, de grains de café à remplir... L'ensemble des réservoir et tiroirs sont bien accessibles sur les côtés ou dessus (grains de café). Je n'ai pas d'avis sur le capuchino car n'en suis pas amateur. Quelques inconvénients car il y en a toujours: plus encombrant qu'une machine à café standard, 13 kg, boutons en plastique qui font un peu toc, lumière déco en façade qui consomme de l'électricité pour rien, interrupteur situé derrière, menu et indication de l'écran en allemand ou anglais (Dommage pour le français mais pas trop difficile à comprendre). Notice en Français/Anglais/Allemand... A voir si cela fonctionne bien dans la durée. "Deutsche Qualität", donc devrait tenir ses promesses...A voir...</t>
  </si>
  <si>
    <t>Du béton Véritable basket qui tient la route, Vans a fait vraiment une belle réussite sur ce modèle surtout au niveau de la semelle qui est très robuste, je marche souvent et avec le temps elle sont résistantes. Je ne regrette vraiment pas cette commande et je conseille à l'achat</t>
  </si>
  <si>
    <t>Indispensable Indispensable pour brancher le micro avec une prise jack 4 bronches (TRRS) vers un PC ayant un récepteur 3 broches (TRS). Devrait être vendu directement avec selon moi.</t>
  </si>
  <si>
    <t>Montre rétro Très jolie montre rétro, va aussi bien aux femmes ( pas trop grosse) qu'aux hommes....Je l'ai achetée pour l'offrir, je l'avais déjà. Ravi de mon achat.</t>
  </si>
  <si>
    <t>Bracelet cheville Joli article Bon rapport qualité prix</t>
  </si>
  <si>
    <t>Rapport qualité prix au top Très bon rapport qualité prix, Très confortable.</t>
  </si>
  <si>
    <t>Conforme à la photo Conforme à la photo</t>
  </si>
  <si>
    <t>très bon produit bon produit, bonne taille et léger pour le printemps à venir</t>
  </si>
  <si>
    <t>Collier doré Gravure et envoi ultra rapide le collier est joli je l’ai choisi doré en revanche se décolore très rapidement. Je ne recommande pas!</t>
  </si>
  <si>
    <t>Déçu L'écouteur ne reste pas dans l'oreille et  qu'il est hyper léger donc je vous recommande pas.</t>
  </si>
  <si>
    <t>Pas content Chaussures livrées à l'heure, en même temps en payant un peu plus de 9€ l'inverse ne m'aurais pas étonné vu le manque de sérieux du vendeur: J'avais commandé une 1ere paire en 47 chez le même vendeur et arriver en 46, bon on peu se dire que l'erreur est humaine donc renvoi à l'expéditeur et recommande toujours en 47 et relivré.....en 46 mais bon pour changer une des chaussure avait des oréoles et des taches !!!! Là ce n'est plus une erreur mais de l'incompétence. Plus jamais je ne commanderai avec ce vendeur ou amazone.</t>
  </si>
  <si>
    <t>Agréable et sympa... Délai respecté et produit bien emballé. Le design est agréable, la couleur conforme à ce que j'attendais. Son coté rétro est plaisant. Je lui reproche cependant les 2 pochettes avant: elles sont trop petites pour être fonctionnelles. Elles ferment par de classiques pressions aimantées et je sais d'expérience que ce système est fragile. Globalement, c'est un sac agréable et sympa avec un bon rapport qualité/prix.</t>
  </si>
  <si>
    <t>Très belle Très masculine. Offerte à mon mari j'avais peur qu'elle paraisse trop petite, en effet elle n'est pas très imposante sur un poignet d'omme mais tant mieux car la couleur dorée est très tape à l'œil. Petit bémol l'écran n'est pas anti rayure</t>
  </si>
  <si>
    <t>Bien, mais..... Pas pour une poitrine supérieure au bonnet C</t>
  </si>
  <si>
    <t>N'hésitez pas Très satisfaite par cet achat qui est mon second d'ailleurs. Les cartouches durent longtemps et je n'ai rencontré aucun problème d'impression ni dur la qualité ni sur la durée. Je ne regrette pas cet achat et le recommande</t>
  </si>
  <si>
    <t>très bien Ce soutien-gorge est très bien .... seul petit bémol, le dessous de poitrine est un peu juste (2 cm de plus aurait permis d'être plus confortable). J'ai donc acheté un lot de 3 rallonges : Extensions de soutien-gorge 3 Crochets, 9,4cm x 5,6cm  (trouvé ici sur Amazon) .... et là, plus de problème, c'est super.</t>
  </si>
  <si>
    <t>Impeccable Répond à mes attentes</t>
  </si>
  <si>
    <t>Pratique et ca sent bon ! J'ai des chats et avec ces lingettes je désinfecte en nettoyant ! et ca sent bon !</t>
  </si>
  <si>
    <t>très belles couleurs et grande finesse de trait Oui en effet les couleurs sont belles, fidèles et nombreuses donc on peut faire de beaux dégradés. C'est l'idéal pour des petites surfaces, alors j'aimerais savoir si vous prévoyez une nouvelle gamme de feutres moyens, et épais ? Bonne continuation</t>
  </si>
  <si>
    <t>Rien a redire sur se produit Très bien</t>
  </si>
  <si>
    <t>chauffe biberons La chauffe vapeur est ultra rapide. Excellent achat. couleur chic. A la sortie le bibi est chaud mais le lait est à la bonne température. j'utilise le support à petits pots pour retirer les bibi.S'utilise avec très peu d'eau : 10 ml.Des que l'eau est évaporée ,le bibi est prêt.</t>
  </si>
  <si>
    <t>Très bonne qualité rapport qualité prix excellent Pendant bricolage ou tonte de la pelouse</t>
  </si>
  <si>
    <t>Très confortable Très belle matière. Taille parfaite Ne craignent pas la pluie Facile à enfiler Pour tous les jours Elles ont l'air solides</t>
  </si>
  <si>
    <t>Excellent rapport qualité/prix, son magnifique et longue autonomie Que dire sinon que Marshall a su maintenir la grâce de leur modèle en réadaptant légèrement les courbes, plus arrondies, et en assouplissant le cadre qui était pour certain un rien trop dur sur leur précédant modèle. L'autonomie est incroyable, je le tiens plus d'une semaine sans me soucier de la recharge.  Pour le prix, il est imbattable !</t>
  </si>
  <si>
    <t>Bien Après avoir dû retourner une première montre non fonctionnelle dans un emballage très déterrioré et sans le mode d'emploi, le second achat, celui-ci répond à mes attentes.</t>
  </si>
  <si>
    <t>Bon produit Super produit, le débit X permet de faire boire des soupes plus ou moins épaisse au biberon. Petit moment de câlin avant d'aller au dodo. Se nettoie bien avec du liquide vaisselle. Résistantes car elles ne se teintent pas facilement et ne sentent pas mauvais après plusieurs semaines d'utilisation.</t>
  </si>
  <si>
    <t>Je recommande Je suis satisfaite de cet veste,bien tailler!et chaud pour l hiver!</t>
  </si>
  <si>
    <t>Chaussure de sécurité bien travaillée Produit adapté</t>
  </si>
  <si>
    <t>Impec Très bien si vous recherchez des chaussettes épaisse qui tiennent bien chaud, celle ci taille très bien, la qualité est au rendez vous, après plusieurs lavage sont toujours en parfait état et non pas bougé</t>
  </si>
  <si>
    <t>Parfait Le masseur fait parfaitement le travail , ma femme l'utilise tous les jour pour le bas du dos et les épaules , très content de cet achat.</t>
  </si>
  <si>
    <t>Attention, chaussures pour pieds fins Attention, chaussures pour pieds fins Belle finitions. Emballées avec soin.</t>
  </si>
  <si>
    <t>Boucles d'oreilles Trop belles j'adore reçu rapidement  belle effet merci beaucoup</t>
  </si>
  <si>
    <t>Lent L'eau met énormément de temps à chauffer, prévoir un long temps d'attente ou faites chauffer de l'eau à la casserole</t>
  </si>
  <si>
    <t>Destructeur de chaussure Article vendu afin de renouveler la couleur de vos chaussures, mais celui-ci les détruit totalement ... Mes baskets noires sont passées à un noir avec reflets orange et de grosses auréoles ... De plus, vraiment pas facile à appliquer avec la mousse comme embout. Je ne suis pas du genre à me plaindre, mais là fortement déçu du produit et mes baskets à la poubelle alors que je voulais simplement les rafraîchir niveau couleur ...</t>
  </si>
  <si>
    <t>Mitigé Taille correctement super souple léger un vrais changement par rapport à des chaussure de sécurité classique. Seul bémol, chaussure complètement détruite au bout de 2mois d'utilisation et je ne les met que 2 heure par jour pour décharger mon camion 1h et pour le charger 1h... la coque en fer est littéralement sortis par la semelle sous la chaussure les trou pour passer les lacets ce sont détruits au bout de 3 jours, tout les jours j'avais un morceau de la chaussure qui se décomposait en miette surtout à l'intérieur. Donc voilà bon produit même très bon produit au niveau de l'idée mais pour la fiabilité dans le temps c'est meme pas la peine si vous compter les porter une journée entière elle vont durer 2 semaine</t>
  </si>
  <si>
    <t>trés belle j'ai était satisfaite de mon achat une semaine.  très honnêtement je m'attendais a une bague de tirette. et quand je l'ai reçu dans une belle petite boite avec un petit chiffon pour la nettoyer je les trouver vraiment magnifique et bien faite.  la gravure était parfaite et très jolie aussi. au bout d'une semaine j'ai une lettre de la gravure qui c'est effacé, donc déçu car du coup sa fait un trait blanc dans la gravure. mais bon pour 10€ je ne pouvais pas m'attendre a un produit d'aussi bonne qualité en sachant qu'elle soit gravé. en bijouterie beaucoup plus chère pour des fois la même qualité.</t>
  </si>
  <si>
    <t>Machine très pratique Appareil qui répond aux attentes qu'on lui demande. Eau à température toujours correcte pour bébé. Pour ma part mon fils a un lait épaissi, et cela fonctionne très bien. Le seul bémol que je peux émettre est le bip sonore indiquant la fin de la préparation, qui résonne vraiment en pleine nuit.</t>
  </si>
  <si>
    <t>Super gilet je l'adore Super gilet je l'adore. Au fur et à mesure des lavages il tient, je recommande.</t>
  </si>
  <si>
    <t>Conforme. Satisfaite. Conforme à la description. Vu la matière du produit, cela n’éclabousse pas partout comme un goupillon normal, c’est très agréable. Le petit embout pour laver les tétines est Très bien</t>
  </si>
  <si>
    <t>Un bon biberon ! Bonne fabrication de la marque MAM, comme d'habitude. Tétine de taille 3 que mon petit a un peu de mal à accepter, mais tout rentre dans l'ordre en repassant sur une taille 3.</t>
  </si>
  <si>
    <t>Quelle bonne idée Livre très bien illustré et écrit de façon à ce que les enfants puissent comprendre facilement. Super</t>
  </si>
  <si>
    <t>La qualité Je ne l'ai pas encore utilisé, mais au premier coup d'oeil, le cuir est beau et le sac bien fini. Expédition rapide en 2 jours</t>
  </si>
  <si>
    <t>Bracelet pour Fitbit Charge2 Cet article est arrivé dans les délais les + proches, et le retard de l'appréciation est que je viens juste de régler la Bonne taille et il me convient parfaitement ! Merci !</t>
  </si>
  <si>
    <t>Très jolie bijou avec Swarovski bien brillant Il a fait forte impression a ma compagne qui l'a apprécié instantanément. Il est facilement réglable et il brille vraiment bien. Il s'adapte à toutes les tenues grâce a une couleur vraiment agréable. La qualité est là pour ce produit.</t>
  </si>
  <si>
    <t>joli bracelet Vraiment joli bracelet, belles pierres vibrantes</t>
  </si>
  <si>
    <t>Bouilloire design Bouilloire installée dans cabinet de soin, parfaite, sobre et design à la fois</t>
  </si>
  <si>
    <t>Très bien Tres bien</t>
  </si>
  <si>
    <t>Excellent produit à la bonne taille, confortable et chaud Bonjour, j'ai reçu mes chaussures lundi dernier et j'en suis pleinement satisfait. Mes habitudes sont de comparer les modèles, les tarifs et les avis. J'avais opté pour ce produit esthétique, confortable et chaud pour l'hiver. Le rapport qualité prix est imbattable, elle semble bien résistante, l'intérieur est bien moelleux, je suis prêt pour affronter la neige et le froid !!</t>
  </si>
  <si>
    <t>Parfait J’adore elle sont résistantes</t>
  </si>
  <si>
    <t>LA DETAIL EST CONFORME POUR L'INSTANT RIEN LE PRODUIT EST CONFORME AUX  DETAILS</t>
  </si>
  <si>
    <t>Trop classe Produit vraiment sympa, très joli, il taille un peu petit mais il est bien coupé. Je recommande le tee shirt.</t>
  </si>
  <si>
    <t>Taille top Top bonne taille, je prend du 38 et c'est nikel</t>
  </si>
  <si>
    <t>pratique Correspond a mes attentes, assure ses fonctions de brosse a bireborns, quoi dire de plus , jespere qu'elle va durer, heureusement bébé va bientot arrêter ses biberons même le matin</t>
  </si>
  <si>
    <t>Bon produit pour le prix J'ai tenté ce produit dans le cadre de mon travail où je marche beaucoup et rien a dire elle sont légères a porter agréable</t>
  </si>
  <si>
    <t>Ras Très confortables et légères. Je me sens bien après mes 12h de travail. Mon seul regret c'est qu'elles se saliront vite mais on me complimente beaucoup sur mes chaussures 🙂</t>
  </si>
  <si>
    <t>Désagréables à porter La pointure (longueur) est correcte mais par contre, elles sont trop larges et hautes à l'intérieur. Du coup le pied est mal tenu et ça occasionne des frottements, ce qui les rend désagréables à porter. Je me suis forcé à les porter depuis une semaine et demi pour les assouplir et les faire à mon pied, et ça ne change pas grand chose, j'ai toujours mal dedans. Peu être l’hiver avec une grosse paire de chaussettes et une semelle supplémentaire, ça pourrait le faire mais je n'y crois pas trop. Autres problèmes : elles sont très glissantes sur sol mouillé et elles n'absorbent aucun choc, c'est direct dans les articulations. A considérer comme une paire de chaussure de sécurité de dépannage, pas plus.</t>
  </si>
  <si>
    <t>dommage l'eau sent le plastique C'est bien dommage car le produit au niveau electronique semble parfait par contre un gros problème et de taille l'eau et la bouloire sentent le plastique. L'intérieur de la bouloire est bourrée de plastique et de caoutchouc. Je retourne le produit illico.</t>
  </si>
  <si>
    <t>Matière du tee shirt nike noir La matières et absolument degeulasse et le nike et plus grand que le tee shirt Je n'aime pas je vous conseille pas</t>
  </si>
  <si>
    <t>culotte en fillet culotte en fille trop petit pour celles qui ont des grosses fesse comme moi ( taille 44 ) ce qui est dommage</t>
  </si>
  <si>
    <t>Avis mitigé sur l'efficacité Achetée pour entretenir les timberland offertes à la fille à Noël je suis mitigée sur l'efficacité... Je trouve que cette brosse laisse des traces sur le nubuck et en plus elle se salit très vite. Je pense plutôt investir dans une bombe imperméabilisant et une anti tâche</t>
  </si>
  <si>
    <t>Bien mais Les écouteurs Bose sont plutôt bien sachant que j’avais les AirPods avant qui sont moins imposants, j’ai beaucoup douter avant de prendre les Bose mais ça tient bien à l’oreille, l’autonomie est plutôt bien cependant lors d’une communication téléphonique seul d’un côté fonctionne ce qui est pas top et j’ai l’impression que le micro n’est pas bien positionné souvent les interlocuteurs ne m’entend Pas.</t>
  </si>
  <si>
    <t>parfait ! rien à dire niveau qualité et rendu sonore ! j'en suis ravi ... un petit moins niveau confort... perso avec mes lunettes ,je trouve qu'il me serre un peu trop la tête ... mais bon il est neuf donc a voir ! mais tres content quand meme ! je recommande !</t>
  </si>
  <si>
    <t>Bon rapport qualité/prix pour ce sac en cuir Produit en cuir résistant bon rapport qualité prix, design à améliorer et avec plus de rangement et d'ergonomie</t>
  </si>
  <si>
    <t>Bien mais... Biberon léger, mignon, par contre le bouchon est difficile à ouvrir d une main, je trouve qu il se dévisse très facilement, je me perds dans les 5000 milles tailles de tétines ( débit très lent, lent, rapide etc...), et je n aime pas trop la forme niveau prise en main.... Mais bon mon fils aime ces tétines donc c est le principal... dernier point négatif les tétines ne vont que sur les biberons de la même marque !!!</t>
  </si>
  <si>
    <t>Super pratique pour les sorties Super ! Je l'ai acheté pour les vacances. Je m'en sert tout le temps !!! Avant de partir en balade ou à la plage, je fais bouillir de l'eau (J'ai investi 5€ dans une petite bouilloire électrique) et je remplis la bouteille. Et hop quand je veux faire chauffer le biberon de bébé qui n'aime pas le boire à température ambiante ça prend 2min30 chrono. Une fois chaud je remets l'eau dans la bouteille et je peux réchauffer un deuxième biberon avec un peu plus tard. Par contre là C'est un peu plus long car l'eau a un petit peu refroidi.  Mais franchement, je recommande!</t>
  </si>
  <si>
    <t>Bon radio réveil Agréablement surpris par ce petit radio réveil qui en fait plus que ce que j'attendais. Sa taille compacte lui permet de trouver sa place sur le table de nuit sans problème, et son affichage de l'heure est paramétrable. si vous ne voulez pas être dérangé la nuit par un halo lumineux, vous pouvez diminuer l"intensité lumineuse de l'affichage horaire, voire le couper totalement. Effectivement ce n'est pas une chaîne Hi Fi, mais le son est correct. L'utilisation est simple et la possibilité de programmer deux heures de réveil et de les activer/ désactiver simplement (par boutons dédiés) est très agréable. Point important, je cherchais un réveil lumineux qui ne commence pas a faire le jour dans la chambre une demi heure avant mon heure de réveil. Celui ci me permet de débuter le réveil lumineux 10 minutes avant mon réveil, ce qui correspond à mes attentes. en résumé: bon rapport qualité/ prix et agréable surprise</t>
  </si>
  <si>
    <t>Magnifique bracelet Magnifique bracelet en véritable pierre je ne le quitte plus reçus dans une pochette en velours !</t>
  </si>
  <si>
    <t>MONTRE SQUELETTE + : PRIX COMPETITIF + : BEL EFFET</t>
  </si>
  <si>
    <t>Simple, souple, solide et économique Les connecteurs thermosoudés inspirent confiance et s'enfichent parfaitement dans les prises, le câble est souple sans crainte de pliure, le tout est sobre et parfaitement fonctionnel.</t>
  </si>
  <si>
    <t>N hesitez pas !! Je l ai acheté pour offrir, il y a un petit sachet qui présente très bien autour. Le bracelet est superbe, comme sur les photos.... parfait !!</t>
  </si>
  <si>
    <t>Parfait adapté au tétines de marque MAM Correspond à la description s adapte parfaitement à mes tétines de marque MAM solide et  souple Je suis très satisfaite Merci</t>
  </si>
  <si>
    <t>Bonne qualité Ce que j'aime bien c'est que c'est des chaussures pour des personnes qui ont le pieds large et c'est confortable</t>
  </si>
  <si>
    <t>qualité exceptionnelle ces bottines sont increvables le cuir est d'excellent qualité et elles sont totalement imperméables et très confortable une fois faites au pied indispensable pour l'équitation ou simplement un usage rural</t>
  </si>
  <si>
    <t>Juste parfait! Paire commandée par la pré-ado, taille 36 pour une pointure 36. Pas de souci. Un joli jaune paille (pas beige), qui va avec tout.</t>
  </si>
  <si>
    <t>Tétine MAM C'est parfait pour le relais, tété, tétine, Bébé accepte très bien, comme si c'était le vrai ! Je recommande ce produit.</t>
  </si>
  <si>
    <t>JOLIE ET PRATIQUE Voilà une lampe qui allie design et fonctionnel. C'est la second lampe de ce modèle que j'achète pour les chambres de mes petits enfants qui apprécient les trois intensités de lumière blanche, les couleurs modulables du socle et également la tige souple et donc orientable pour une utilisation à souhait comme pour la lecture... Très contente de mon achat. Je recommande cet article sans hésitation.</t>
  </si>
  <si>
    <t>Chaussure de sécurité J'utilise les chaussures tout les jours jours super léger et très très confortable je recommande ce produit</t>
  </si>
  <si>
    <t>très bon casque Acheté pour mon fils (qui a choisi lui même ce casque). Le son est super bon, les basses sont bien restituées et les aïgus aussi, la connexion bluetooth est très bonne, bonne autonomie. Mon fils de 19 ans est ravi ..!</t>
  </si>
  <si>
    <t>Bon rapport qualité prix Matos reçu hyper rapidos...merci amazon perso j'en possédais déjà un et en voici un deuxième pour le fiston qui l'utilise sur vdrum</t>
  </si>
  <si>
    <t>commentaire bien</t>
  </si>
  <si>
    <t>pieces manquantes bonjour,  il manque le'adaptateur de la carte son et le fixe table pour le bras dans le colis. Est-ce que je dois retourner le colis?</t>
  </si>
  <si>
    <t>non confome bague tres petite, limite pour une enfant. fausse pierre, rien a voir avec la photo. argent et reglages douteux. je suis hyper decue de mon achat et ne le recommande pas.</t>
  </si>
  <si>
    <t>Longueur pas identique ? Bon produit. Sur les 2 câbles de 1 mètre . La longueur n'est pas identique ? ??. Le câble de 2m  ok</t>
  </si>
  <si>
    <t>Savoir tout d'abord si le produit est aussi efficace que les cartouches CANON C'est la première fois que j'emploie vos cartouches...je ne peux pas encore vraiment juger sur la durée car je ne les emploie qu'une fois par semaine au club de bridge mais en ce qui concerne la qualité d'impression c'est exactement comme avec mes anciennes cartouches CANON….Et LE PRIX EST TOUT A FAIT DIFFERENT Donc pour moi, pour le moment c'est très positif Lorsque je vais devoir changer celles de la maison et là j'emploie plus souvent l'imprimante je prendrai vos cartouches et je pourrai ainsi mieux juger</t>
  </si>
  <si>
    <t>Très bon écouteurs Très bon écouteurs et facile à installer sur le tel, bonne qualité et bonne recharge avec un son très bon. Le pourcentage se voir très bien sur le boîtier qui contient une pochette pour le protéger des chocs extérieurs. Un câble et des rechange pour l'embout des écouteurs sont également dans la boîte sous le plastique.</t>
  </si>
  <si>
    <t>belle qualité, livraison expresse un peu grand , mais c'est pas grave dans ce sens, , beau produit, avec des poches confortables</t>
  </si>
  <si>
    <t>Bouilloire RIVERA BAR Pratique, belle, rapide mais ... Acheté il y a déjà presque un an elle marche toujours aussi bien!  LES PLUS  - Design épuré, sobre harmonieuse - Couleur gris métallisé très moderne - prise en main très facile - Contenance parfaite pour faire bouillir de l'eau et cuisiner plus rapidement (soupes, œufs à la coque, légumes vapeur...) - Très rapide 4 min 30 sec pour amener à 100°C 1 litre et 1/2 d'eau froide du robinet - Elle garde la température très long temps (si elle reste dans le socle et allumée) : eau à 90 °C après 10 min, eau à 88°C après 42 min - on peut voir la le volume contenu grâce à la graduation installée dans le coté - on peut sélectionner très facilement la température - Un petit bip de rappel et pas oublier l'eau chaude sur le socle tous les  LES MOINS  - Je la trouve un peu bouillante - bcp de calcaire se forme et le filtre anti calcaire laisse ne retient pas très bien le calcaire - après chauffe elle est brûlante donc il faut toujours faire attention - la fermeture n'est pas pratique il faut le faire à deux mains - le prix qui me parait très élevé si l'on tient compte des petits défauts  Je recommande!!  Si vous avez apprécié ce retour, votez "Commentaire utile" ! ça fait toujours plaisir. Sinon laissez une remarque !</t>
  </si>
  <si>
    <t>très joli bel écrin, jolie chaine, superbe brillance</t>
  </si>
  <si>
    <t>Le peu de bruit J'en suis très contente car elle fait peut de bruit et très élégante</t>
  </si>
  <si>
    <t>Joli pull léger Conforme dans la taille choisie je fais un 40/42 et j ai pris du L. Ce pull est en maille fine mais relativement chaud. La coupe ample le rend confortable.Il descend en bas des hanches. Manches serrées jusqu'au milieu des avant bras. Emplacements poches sur les côtés donne du style. Enfin la couleur noire est profonde et a bien tenue à 30 degré en machine.</t>
  </si>
  <si>
    <t>Trop top Trop top</t>
  </si>
  <si>
    <t>Impeccable Très bonne qualité - t’aille adaptée à la fille de 2 ans et demi. Jolis couleurs</t>
  </si>
  <si>
    <t>Excellent rapport qualité-prix! Petit compte-rendu après quelques semaines: confortable, reproduction sonore détaillée, basses profondes, grande autonomie, en gros parfaitement conforme aux spécifications; la réduction active de bruit est très efficace pour les basses fréquences, mais vraiment pas nécessaire lors d'une écoute à niveau "normal" - le casque isole suffisamment. Les accessoires sont vraiment complets, et tout comme le casque, de très bonne qualité; le sac de transport rigide est inclus et protège bien l'ensemble. Super content de mon achat!</t>
  </si>
  <si>
    <t>très bon produit Que ce soit pour les cartouches couleur ou noir, il est PRIMORDIAL d''acheter des cartouches d'encre d'origine correspondant à la marque de son imprimante. Les sous-marques, mêmes garanties compatibles par les vendeurs peuvent occasionner des dommages irréversibles à votre matériel. Donc, pas de fausses économies qui s'avèrent très onéreuses !</t>
  </si>
  <si>
    <t>good! love it, commandés en noir et gris, pas trop épais ni trop fin. je suis une femme et je fais 1m80, j'ai pris XXL pour etre bien large dedans, je suis pas déçue! très long aussi, je les retrousse au bout. j'adore.</t>
  </si>
  <si>
    <t>La pointure Super produit</t>
  </si>
  <si>
    <t>Très bon prix Très bon prix pour ce sweat,  très contente</t>
  </si>
  <si>
    <t>Superbe qualité Superbe qualité , je recommande fortement</t>
  </si>
  <si>
    <t>Nickel Idéal pour les tutute de ma fille de marque Mam qui n'ont pas d'anneau !  Se met et se retire facilement sur la tutute et tiens bien dans le temps ! Ne se déforme pas et ne change pas de couleur</t>
  </si>
  <si>
    <t>Super très très jolie montre,  dommage que c'était un peu grand pour moi .</t>
  </si>
  <si>
    <t>Huile parfaite Je l'ai utilisé pendant toute ma grossesse et aucune vergetures! Ce produit est super. A utiliser sans modération. Je vous le recommande.</t>
  </si>
  <si>
    <t>ne correspond pas en effet le coton, contrairement à ce qui est écrit dans le descriptif,  n'est pas super doux, plutôt rugueux et pas très agréable à porter</t>
  </si>
  <si>
    <t>Produit sans couvercle hermetique Le produit a coulé à l'intérieur du colis...super</t>
  </si>
  <si>
    <t>présentation - confort emploi pendant période de repos, positif bonne finition, moins semelle extérieur matière synthétique 100% coulée et peut flexible, dessus ext. simili -cuir  fin doublé, correspond à sa valeur prix mais surtout pas plus.</t>
  </si>
  <si>
    <t>Bien, mais fragile Bien mais fragile. Le dessus c’est abîmé rapidement, par rapport à d’autres chaussures similaires</t>
  </si>
  <si>
    <t>Radio reveil simulateur d aube genial Super produit, pour sa mise en oeuvre il faut bien memoriser le mode d emploi. Je recommande.</t>
  </si>
  <si>
    <t>Au top Hyper content de cet achat. La qualité est au RDV et il est hyper agréable meme en le portant toute la journée. Il se charge très rapidement.  Niveau connection Bluetooth,  pas de problème avec une clé Sennheiser BTD 500, l'appairage se fait sans souci. Je l'utilise pour mes appels Skype et ca fonctionne très bien.  Je ne mets pas 5 étoiles car je regrette qu'il n'y ai pas de logiciels pour des réglages plus poussés</t>
  </si>
  <si>
    <t>Bonne bouilloire mais attention lorsque qu’elle est chaude J’ai acheté cette bouilloire par son design tout alu. Chauffe rapidement, une simple impulsion sur le bouton et c’est parti. En revanche attention, étant donné que c’est en alu l’ensemble de la bouilloire est également chaud.</t>
  </si>
  <si>
    <t>Très confortable grande capacité très bien Pour mes loisirs</t>
  </si>
  <si>
    <t>Bon produit Commandé pour mon petit fils pour le ski en complément de moon boots.Confortable chaud mais peu utilisé donc je ne peux pas juger de la longévité</t>
  </si>
  <si>
    <t>satisfait Super sac d'épaule ! Je suis très satisfait de cet achat. Le produit est de bonne qualité, léger et idéal pour des activités quotidiens,  on peut y mettre tout le nécessaire : porte-carte, clés, papiers de voiture, mouchoirs....  En bref, Il est assez robuste, confortable, pratique et beau, absolument ce que j'attends. Je recommande vivement.</t>
  </si>
  <si>
    <t>Tout à fait contente de mon achat Superbes... bien assorties au pendentif.</t>
  </si>
  <si>
    <t>Nikel Comme bouilloire Produit exceptionnel très belle qualité et offre de chauffage de plusieurs températures vraiment top et tres ergonomique à conseiller vraiment 👍</t>
  </si>
  <si>
    <t>sacs solides et pratiques sacs solides et pratiques, je les utilise depuis 5ans sans aucun probleme a signaler. Commande sur Amazon sans soucis également.</t>
  </si>
  <si>
    <t>Rapidité de l'envoi article conforme Envoi hyper rapide</t>
  </si>
  <si>
    <t>bon produit Conforme au descriptif, convient a un biberon bebeconfort. Pour les soupes ou les cereales c'est bien, Bonne qualite, je recommande !</t>
  </si>
  <si>
    <t>Super écouteurs Bluetooth Ces écouteurs sont TOP. la qualité audio est vraiment très bonnes. L’ergonomie est génial. Il se place facile dans l’oreille et tiennent très bien. Le chargement est rapide et l’autonomie est très bonne. Je conseille vraiment ces écouteurs Bluetooth. Je recommande</t>
  </si>
  <si>
    <t>magnifiques ! mérite 6 ETOILES - pour filles et garçons - représentation des pays très réaliste en verre : topissime nettoyage facile pour tous les âges, il vous suffit de changer les tétines je m'en sers pour mon petit fils Ayden de 15 mois et, ils sont solides je les passe au lave-vaisselle</t>
  </si>
  <si>
    <t>Au top Très fan de ces billes hyper puissante en odeur avec a peine une petite dose. Le linge sens le frais très longtemps !</t>
  </si>
  <si>
    <t>tres bon tres bon</t>
  </si>
  <si>
    <t>Idéal comme cadeau Conforme à la description. Coloré et brillant</t>
  </si>
  <si>
    <t>Jolie découverte. Les machines à thé existent depuis longtemps. Cependant je les ai toujours ignorées pensant qu’il n’était pas bien compliqué de faire du thé dans une théière. Aujourd’hui je suis seule à boire du thé chez moi, soit une tasse de thé fraichement réalisée me plait. J’ai eu l’opportunité de tester cette machine à thé Electrique et j’en suis ravie.  Je pense que les utilisateurs de thé en vrac avec théière pour 6 tasses ne seront pas intéressés, mais les usagers de thé à la tasse seront comblés. En tout cas, à moi, elle me convient tellement ! Je l’utilise quotidiennement et plusieurs fois par jour. Je suis conquise. J’ai testé toutes les capsules de thés noirs comprises dans le pack de dégustation et j’ai immédiatement passé une commande sur le site web en profitant de l’offre de bienvenue.  Des infusions et des Rooibos sont également disponibles ainsi que des thés noirs, verts, bleus et blancs.</t>
  </si>
  <si>
    <t>Gola Très bien les chaussures</t>
  </si>
  <si>
    <t>Super marque J l’adore cette marque l’es matière sont hyper confortables et les coupes super sympa</t>
  </si>
  <si>
    <t>100% conforme, parfait. Offert pour un anniversaire, la personne a été conquise. Il est de belle taille, très zen avec son effet bois. Il diffuse bien les odeurs et dégage une jolie fumée blanche à l'utilisation. Rien à redire.</t>
  </si>
  <si>
    <t>Sympa mais matière peu agréable Sweat qui est super joli niveau design et coloris mais il est très serré au niveau des épaules et la matière fait très "plastique" : elle est pas du tout agréable. J'ai préféré le renvoyé !</t>
  </si>
  <si>
    <t>Pas étanche Je travail en boucherie et a chaque nettoyage je prends l eau</t>
  </si>
  <si>
    <t>Déçu Je déconseille vraiment ! J’ai commandé 3 legging différents, reçu 2 identique, et la qualité laisse à désiré car vraiment transparent !! Déçu de ma commande.</t>
  </si>
  <si>
    <t>Biens Bons feutres mais les couleurs sont surprenantes. ..deux jaunes fluos mais pas de jaune.4 ou 5 bleus mais pas de gris</t>
  </si>
  <si>
    <t>Grésillement trop fort Le micro  a un grésillement beaucoup trop fort er la qualité er un peu bof bof</t>
  </si>
  <si>
    <t>top Brassière qui maintient assez bien la poitrine, couleur qui correspond à la photo. Petit bémol, je pense qu'il est bien de les passer une fois à la machine avant de les porter, car j'ai vu que ça y déposer un peu de fibre sur les machines de muscu.</t>
  </si>
  <si>
    <t>Bonne cartouches Bonnes cartouches</t>
  </si>
  <si>
    <t>Ne se déchire pas et est même résistant Pratique et de très bonne Qualité</t>
  </si>
  <si>
    <t>Taille bien Taille correcte</t>
  </si>
  <si>
    <t>aimé C'est parfait pour le karaoké, l'enregistrement, les interviews ou tout simplement jouer avec un rap ou une beatbox. Je l'aime et mes enfants aussi.</t>
  </si>
  <si>
    <t>Impeccables!!!! les converses sont pour ma fille, taille 36  nickelle, elles sont top conforme a la description bref pas de mauvaise surprise en commandant cet objet , je recommande!!et livraison rapide!! merci</t>
  </si>
  <si>
    <t>Très jolie Originalité + prix</t>
  </si>
  <si>
    <t>Dodie nous a changé la vie!! Dodie nous a changé la vie!! Notre petit bout ne voulait pas prendre, on avait essayé Tigex, avent, ... Il n'en voulait pas jusqu'à tester les tétines Dodie... Magique !! Il paraît que Mam c'est pas mal également !</t>
  </si>
  <si>
    <t>Excellent Excellent !! Très facile d'utilisation , très bonne température mais il faut absolument mettre la housse car très chaud ! S'eteint après le temp voulu. 😉je recommande vivement 😁</t>
  </si>
  <si>
    <t>Beau, ergonomique, solide et son super !!! J'ai acheté mon premier casque Marshall il y a 5 ans et malgré le matériel du casque qui s’effrite, le son est toujours super ! Je voulais un nouveau casque avec fonction Bluetooth et j'ai décidé de racheter des Marshall ! Je suis tout à fait satisfaite de mon achat. Le casque est très beau, le design est ergonomique et moderne. Certains utilisateurs n'aiment pas que le casque serre bien la tête mais j'adore ! Il tiens en place et la fonction réducteur de bruit est bonne mais pourrait être meilleure. Le s petits bruits sont effacés pas pas l'ensemble des bruits. Je n'ai pas encore testé la fonction Bluetooth mais je conseillerais ce produit a 100%.</t>
  </si>
  <si>
    <t>Très bien. Parfait pour le sport, taille parfaitement.</t>
  </si>
  <si>
    <t>Guide idéal pour les pré-ados et ados Mon fils de 12 ans aime bien ce guide, il y a des rubriques où il n'est pas encore concerné mais cela viendra bien vite ! Je le conseille fortement car il peut répondre à beaucoup de questions, et je conseille également aux parents de le lire !!!</t>
  </si>
  <si>
    <t>sweat shirt à capuche homme taille L J'avais déjà commandé ce produit dans un autre coloris. Mon fils l'a adopté sans problème et a voulu le même en noir. Nous en sommes tout à fait satisfaits.</t>
  </si>
  <si>
    <t>Convient pour footing。。。~~~ "Le packaging est digne d'une marque du haut gamme La qualité de l'étuie et des écouteurs est irréprochable. Je les ai testé pour regarder mes séries sur mon téléphone et j'avoue que j'étais surprise de la qualité du son et aussi de la fonctionnalité du tactile des écouteurs. C'était un cadeau d'anniversaire pour mon mari mais quand je les ai testé je les emprunte tous les soirs pour profiter moi aussi！！！@。。。</t>
  </si>
  <si>
    <t>Très bien Cela fait plusieurs années que je prends ces asics. Elles me conviennent parfaitement.</t>
  </si>
  <si>
    <t>Parfait rempli bien sa fonction Top j adore Tous les biberons passent quelque soit leur grandeur ! Je recommande</t>
  </si>
  <si>
    <t>Parfait Tres bonne table ideale pour le Reiki. Je la recommande</t>
  </si>
  <si>
    <t>couverture chauffante Très contente du produit de qualité, merci!</t>
  </si>
  <si>
    <t>fonctionne très bien la notice à été traduite .... dans un français expérimental ... on arrive tout de même à comprendre. L'ensemble casque support émetteur fonctionne très bien c'est le principal. Il y a un micro pour être utiliser en audio-communication en utilisant le téléphone et juste le casque en Bluetooth ou avec le câble avec prise classique en Jack3.5.les communications passent très bien . c'est un très bon appareil merci</t>
  </si>
  <si>
    <t>bien dedans souple mais pas solide pour travaillé sur tu terrain plat</t>
  </si>
  <si>
    <t>ce n'est pas DU TOUT une tailleur Union Européenne Ce n'est pas une taille européenne mais chinoise !!!!! Ce n'est donc pas du 43 Union Européenne mais CHINOISE ya au moins 2 tailles en dessous... C'est de la publicité mensongère, elles sont importables... Je veux qu'on me rembourse !</t>
  </si>
  <si>
    <t>on fait la même chose avec liquide vaisselle ! liquide vaisselle et eau tiède et brosse douce et c'est parfait et pas cher .....je suis plus un pigeon et vous ?</t>
  </si>
  <si>
    <t>Nombre de poche insuffisant Bon usage quotidien, mais c’est deux poches différentes</t>
  </si>
  <si>
    <t>bon produit esthétique simple lisible solide bon rapport qualité / prix je l'ai offerte à mon père qui appartient au troisième âge il adore</t>
  </si>
  <si>
    <t>Bi office Brosse Très bon effaceur</t>
  </si>
  <si>
    <t>Conforme au produit attendu RAS</t>
  </si>
  <si>
    <t>Super boîte de présentation comme pour les grands Superbe ma fille va être ravie pour Noël.</t>
  </si>
  <si>
    <t>Parfait Particulièrement facile à utiliser, la couleur est aussi très jolie, la fille l'aime bien, le son est amusant, le prix n'est pas cher. 👍👍👍</t>
  </si>
  <si>
    <t>crayons parfaits pour les bébés Crayons parfaits pour les bébés : la taille leur permet de les avoir bien en main, ils sont gras donc bien couvrants (même sur les doigts prévoir un lavage de main après), les couleurs sont chatoyantes. On peut dessiner sur tous supports : papier, vitre, tissu, plastique et ...murs et sols....pas de panique, les coups de crayons partent au lavage ou avec une d'éponge</t>
  </si>
  <si>
    <t>Conforme a la description J'ai acheté ce produit car j'en voulait un et celui ci est au top très silencieux et esthétique je recommande</t>
  </si>
  <si>
    <t>parfais Magnifique petite bola au petit son (style clochette). J'ai reçut beaucoup de compliment en la portant. Je vous la recommande</t>
  </si>
  <si>
    <t>Peu encombrant Peu encombrant par rapport au bebea</t>
  </si>
  <si>
    <t>Biberon rose Bon produit</t>
  </si>
  <si>
    <t>contente Très contente de mon achat car ma fille en avait besoin pour elle s'organiser pour ses révision de bac. Reçu rapidement.</t>
  </si>
  <si>
    <t>très belles baskets Chaussures très confortables. Idéales lors de longues marches, très bon amorti. Je recommande.</t>
  </si>
  <si>
    <t>Doseur Parfait je recommande le produit</t>
  </si>
  <si>
    <t>Très satisfait Le cuir est super beau comme sur la photo et le rendu est très bien. l'intérieur est assez grand et il peut y mettre pas mal de choses, notamment mon chéquier et ma porte feuille. Il y a une fermeture sur le dessus : au prime abord elle peut paraître ne pas être pratique, mais en fait j’arrive à tout ranger.</t>
  </si>
  <si>
    <t>Cable de bonne qualité Installer depuis 8 mois maintenant avec un ensemble ampli home cinéma et je n'ai rien a reprocher a ses cables. Ils valent largement le rapport qualité prix.</t>
  </si>
  <si>
    <t>Top Parfait pour mon petit gars de 17 mois !</t>
  </si>
  <si>
    <t>Satisfait Elles sont très confortables je les recommanderais.</t>
  </si>
  <si>
    <t>Pas top Tennis qui taille vraiment grand et les lacets sont très bizarre....Je n'aime pas du tout leur matière....</t>
  </si>
  <si>
    <t>deçu il manqué une pierre</t>
  </si>
  <si>
    <t>Mauvaise taille / Mauvaise couleur Rien n'est bon par rapport à la commande : J'ai commandé taille 41-45 couleur noir. J'ai reçu taille 36-40 couleur violet...</t>
  </si>
  <si>
    <t>Beau produit mais... La taille est pas indiquée lors de l'achat. C'était pour offrir à un homme et le bracelet est légèrement trop grand ce qui est dommage. Il faudrait soit indiquer la taille en centimètre, soit avoir un double des attaches pour pouvoir le réajuster soi-même. Sinon il est vraiment très sympa.</t>
  </si>
  <si>
    <t>Bien Grave belle mais hyper rigide</t>
  </si>
  <si>
    <t>Prix Tres bien mais très chere pour utilisation 1 boite 1 semaine</t>
  </si>
  <si>
    <t>Haute qualité sonore bien au RDV, MAIS... Après plusieurs mois d'utilisation, je confirme mon commentaire sur la qualité de restitution audio ! Excellente pour ce type d'écouteurs. Un GROS point négatif : Comme d'autres utilisateurs l'ont déja évoqué, la charge batterie du boitier se dissipe très rapidement(+/- 2 jours) en cas de non utilisation de l"ensemble. Ce n'est absolument pas normal dans cette gamme de produits ! Alors Mrs Sennheiser, on fait quoi ???</t>
  </si>
  <si>
    <t>Beau bijou Très beau Très Bon prix Collier un peu fin</t>
  </si>
  <si>
    <t>Bon rapport qualité prix Bon produit je recommande</t>
  </si>
  <si>
    <t>au top super sac mieux en vrai que sur la photo et qui correspond parfaitement a celle ci ! j'y met tout ce dont j'ai besoin il est d'une taille idéal pas trop grand et l'aspect et très cool façon bandoulière a Indiana Jones ! j'adore ! il est super resistant la qualité se ressent d'aspect et au poid du sac ! je suis particulièrement exigeant et je suis ravi de mon achat qui fut très rapide a être livré (plus rapide que prévu !)</t>
  </si>
  <si>
    <t>parfait Bijoux redevenus neufs</t>
  </si>
  <si>
    <t>Super grignoteuse Jadore tres pratique quand on commence a donner des morceaux a bebe. Il peut manger des morceaux de fruits, legumes ou pain facilement sans risque d'étouffement</t>
  </si>
  <si>
    <t>T.shirt manche longue en M Bon produit, il a l'air de bonne qualité, après le tissu est assez fin.  Par contre, Heureusement que j'ai lu les autres commentaires comme quoi il vaut mieux prendre une taille en dessous que celle que l'on prend d'habitude. Je confirme! Je fait du L mais j'ai pris du M, il me va parfaitement.  Livraison dans les temps. Je recommande</t>
  </si>
  <si>
    <t>Une télécommande qui fait le job Rien à redire sur cette télécommande elle fait ce qu'on lui demande et même plus! La clé usb qui se met dans la télécommande est très pratique pour éviter de la perdre tout le temps. Il n'y a aucune latence et la portée est très bonne, j'ai même essayé à +20m et ça marchait toujours. Le bouton qui permet de couper l'affichage sur son écran tout en continuant de projet sur le deuxième écran est très pratique, fonctionnalité qui n'est pas sur beaucoup d'autres télécommandes. Le laser a lui aussi une très grande portée, à vrai dire je ne suis pas arrivée à savoir jusqu'à ce qu'elle distance il continue de se voir comme même en testant dans ma rue ça continuait de se voir de l'autre côté de la rue. En soit un achat dont je suis très content!</t>
  </si>
  <si>
    <t>Classe Joli bracelet marron que j'ai commandé pour un cadeau à Noël. Mon ami à l'air satisfait, et Le rendu est chic.</t>
  </si>
  <si>
    <t>très bonne marque (fila) utilisation pour marche</t>
  </si>
  <si>
    <t>BON CASQUE C'est pour mon mari il en est trés content bon rapport-qualité prix il le trouve trés agréable et surtout la traduction en français était  trés  plaisante</t>
  </si>
  <si>
    <t>Parfait Produit livré dans les temps, conforme à ma demande.</t>
  </si>
  <si>
    <t>Très bonne acquisition, très léger et son vraiment très polyvalent et précis! N'étant pas un spécialiste du son, je ne suis pas une référence mais je cherchais un bon casque fermé polyvalent car j'écoute aussi bien du classique, du jazz, de l'électro que du hardcore punk. Je suis comblé car le son est plutôt précis et neutre: pas trop de basse en particulier pour le classique... Le casque est semi-ouvert donc on entend un peu ce qui se passe autour mais le son se propage mieux et donne une impression d'ouverture très appréciable. Le casque est léger et peut se porter pendant très longtemps sans fatiguer à part un peu mal au cartilage de l'oreille au bout d'un long temps peut-être... Le casque est encombrant avec un gros arceau donc à utiliser plutôt en intérieur mais il s'adapte facilement aux têtes (peut-être attention si vous avez une petite tête) Le câble est long et amovible (mais connecteur proprio) mais assez mou donc attention à ne pas le pincer. L'ensemble fait un peu plastoc peut-être, en particulier le protège-tête tout plastique mais bon ça assure sa légéreté et puis au final pour le prix, je n'ai pas grand chose à redire!</t>
  </si>
  <si>
    <t>Super qualité ventilé et comfortable Super qualité ventilé et comfortable</t>
  </si>
  <si>
    <t>bon produit Je suis assistante maternelle et j'ai besoin de faire chauffer les biberons de manière sécurisés. Simple d'utilisation et à manipuler. Je ne l'utilise que pour les biberons pour le moment. Il semble long à chauffer mais quand bébé à faim tous semble durée une éternité. Je suis contente de cet achat.</t>
  </si>
  <si>
    <t>Super contante ! Je suis trop contente c'est comme je voulais même couleur , pas de différence et de défaut. Vraiment super j'adore</t>
  </si>
  <si>
    <t>Le TOP ASICS NIMBUS 21 Je cours tout le temps avec des asics et j’ai acheté cette paire d’Asics Gel Nimbus 21 à un super prix . Authentique et top  qualité prix.</t>
  </si>
  <si>
    <t>Bouilloire à bouder Pas très pratique car le calcaire est vite arrivé et la bouilloire doit être détartrer régulièrement à telle point que j’ en ai racheté une autre. Autre marque. Très déçu du produit</t>
  </si>
  <si>
    <t>Plastique dans la bouilloire Le produit est beau! Mais la mauvais surprise est qu’il y a du plastique à l’iNterieur à plusieurs endroits. On sait que le plastique pourrait être dangereux pour la santé avec de la chaleur. Je suis très déçue. Je trouve qu’il n’est pas bien conçu.</t>
  </si>
  <si>
    <t>Parfait Le top pour transpiré des pieds sinon pratique ..</t>
  </si>
  <si>
    <t>Pas bon marché HP vend ses cartouches toujours aussi chères ! Sinon produit de qualité 100% reconnu par l'imprimante ce qui n'est pas toujours le cas des cartouches reconditionnées hélas !</t>
  </si>
  <si>
    <t>Efficaces Pratiques ces lingettes qui évitent la décoloration du linge tout en contenant une poudre détachante a l’intérieur. Elles sont efficaces dans leurs deux fonctions. Seul petit bémol : si on lave à basse température et cycle court, la poudre détachante ne se diffuse pas lors du cycle de lavage et s’agglomère dans la lingette.</t>
  </si>
  <si>
    <t>Modèle d'origine Écouteur d'origine vendu avec les Samsung s8 et note 8 Tres bonne qualité</t>
  </si>
  <si>
    <t>Bien Conforme mais pas encore testé</t>
  </si>
  <si>
    <t>Super Tres bien</t>
  </si>
  <si>
    <t>parfaite lumière blanche! Si vous etes comme moi et que vous ne supportez pas la lumière jaune c'est parfait, (voir ma vidéo).  Je cherchais une lampe qui fasse lumiere blanche car je trouve la lumière chaude trop fade pour une environnement de travail sur ordinateur, cette lampe fait les 2 au cas où vous voulez vous reposer les yeux avec la jaune, c'est donc parfait!  - Allumage et intensité/couleurs réglable tactilement c'est parfait! - Pliage dans tous les sens c'est niquel! - Base peut etre un peu grosse mais ça peut aller  Cliquez sur "OUI" si mon commentaire vous est utile!</t>
  </si>
  <si>
    <t>Niquel J'adore cette bague je la met tout les jour elle n'a pas perdue son éclat. Le rapport qualité-prix est vraiment imbattable.</t>
  </si>
  <si>
    <t>Bon produit Je beaucoup cette marque de biberon je l'ai utiliser pour ma première et je fait de même pour la deuxième pratique a utiliser et à laver je recommande ce produit a toutes les mamans</t>
  </si>
  <si>
    <t>Super écouteurs Les écouteurs sont vraiment bien, la qualité son et l'autonomie sont vraiment exceptionnel je conseil a tout le monde avec un petit budget</t>
  </si>
  <si>
    <t>Bon son! Je cherchais un casque sans fil et pas trop cher. Ce casque offre un excellent son. Son autonomie permet d’écouter de la musique pendant de nombreuses d’heures. Petit bénol pour le réducteur de bruit: il faut augmenter le volume pour n’entendre plus aucun bruit externe. Je recommande ce casque pour sa qualité et son prix très intéressant.</t>
  </si>
  <si>
    <t>Simple, fidèle et solide : le casque efficace Je connaissais déjà ce casque avant de l'acheter car un ami l'avait acheté. On a vraiment du mal a repasser vers d'autres casques après l'avoir utilisé, tellement il est bien. J'aime bien la fidélité du son Sennheiser, et j'ai aussi bien des casques de salon que des casques nomades de la même marque. Je ne jette jamais mes casques : je les répare en SAV. Ce casque m'a particulièrement séduit par la disponibilité des pièces de rechanges. Il est conçu en Allemagne et fabriqué en Irlande en plus : c'est rare de nos jours. C'est du sûr et du solide, a acheter les yeux fermés. Les pro de d’audiovisuels l'utilisent beaucoup.</t>
  </si>
  <si>
    <t>Bien taillé J'achète toujours ce modèle Super pour le tennis toutes saisons ++++</t>
  </si>
  <si>
    <t>parfait très agréable a porter l'intérieur es un peu moumouté. taille parfaitement.</t>
  </si>
  <si>
    <t>Produit de qualité J'utilise ce produit depuis plus d'une semaine maintenant, et je peux dire que c'est très agréable de s'en servir, les moteurs de l'appareil sont costauds, quand c'est rouge ça chauffe légèrement la nuque c'est très cool Je l'ai acheté pour moi ( car Fan de massage) mais je pense que c'est une très bonne idée Cadeau. Beau produit de qualité</t>
  </si>
  <si>
    <t>Facilement accepté Seul biberon accepté par mon bébé.</t>
  </si>
  <si>
    <t>Très joli J ai aimé ce modèle comme cadeau pour ma fille aînée  fan de chouette et qui aime les symboles Zen comme l illustre ce collier. Le pendentif est bien dessiné et brille grâce aux zirconium. Poinçon certifiant l argent véritable. Chaîne solide poinçonnée aussi. Le plus : livré dans boite cadeau. Content de mon achat.</t>
  </si>
  <si>
    <t>Julie boucles d'oreille Boucles d'oreille de super qualité , la fermeture est bien protégé!  Moi qui suis assez sensible elle me conviens au top !</t>
  </si>
  <si>
    <t>Parfaites! Elles sont magnifiques et tres confortables.</t>
  </si>
  <si>
    <t>Top! Top! De qualité, livrées dans une jolie pochette.</t>
  </si>
  <si>
    <t>SACS POUBELLES ECOLO Handy Bag, rien que le nom on est pas déçu par la qualité et la résistance des sacs antifuites et en plus ils sont recycles. Moins de 7€ pour 20 sacs : Chapeau...</t>
  </si>
  <si>
    <t>J'ador, je conseil fortement Bonjour/Bonsoir je vais aller très vite, la qualité du micro est troppppp bien, sa rajoute du style a votre setup et facile d'installation plus d'usage. Je vous conseil d'acheter une carte CLS qui envoie le micro en 5V pour un son plus net Si vous voulez le mettre sur PS4, sa fonctionne mais il faut la carte, si c'est une PS4 PRO (pour mon cas) il faut prévoir une genre de mini rallonge USB mâle à USB femelle car la carte CLS est trop large est ne passe pas entre les rebord de la PS4 PRO. Je vous le conseil fortement est j'espère que sa vous aurat aidé.</t>
  </si>
  <si>
    <t>Déçu Au bout de quelques utilisation un écouteurs ne fonctionne plus</t>
  </si>
  <si>
    <t>problème connexion bluetooth Je viens de le recevoir mais lorsque j'appuie sur le bouton d'alimentation pendant 5 secondes, rien ne se passe. pas de bluetooth. J'imagine que je dois pas bien l'utiliser ou bien faut-il attendre que la charge soit complète ??</t>
  </si>
  <si>
    <t>C nul c chinois Ca taille trop petit faut renvoyer faut attendre 2 mois le remboursement...  Bref allez en magasin, les pompes de secu sont moins classe mais au moins on a direct ce qu'on veut...</t>
  </si>
  <si>
    <t>nous les garçons j'ai acheté ce livre pour mon fils, celà à répondu à certaines de ses questions car c'est toujours délicat de demander à maman !!!</t>
  </si>
  <si>
    <t>sympa mais un peu gros sur le poignet Ne serre pas le poignet mais sur un poignet fin, peut paraître un peu gros. conviendrait plus à un homme.</t>
  </si>
  <si>
    <t>Tétine. Top. Très bonne tétines. Mon fils ne tolère que seule ci. Un peu large dans la bouche mais lui convient parfaitement.</t>
  </si>
  <si>
    <t>environ 2 mois d'utilisation, simple à mettre en place L'appareil arrive complet avec sa recharge. Il suffit de l'ouvrir pour la mettre en place. Attention de respecter les consignes. Pour ma part je porte des gants en latex pour éviter tout contact. Le bouchon de vidange permet de savoir quand la recharge doit être remplacée. L'utilisation est annoncée pour 2 mois. Evidemment selon l'humidité de la pièce à traiter.</t>
  </si>
  <si>
    <t>parfait pour lait avec cereales et soupe A la base j'ai acheté ces tétines pour le lait épaissi mais attention les trous sont trop grands ça coule beaucoup trop vite ! par contre je les met de coté pour plus tard car elle me paraissent parfaites pour le lait au céréales. Pour le lait épaissi je conseille plutôt les tétines taille 3 de la même marque c'est beaucoup plus adapté.</t>
  </si>
  <si>
    <t>TAILLE très jolie coupe pour ce leggings + poche très utile</t>
  </si>
  <si>
    <t>Magnifique Super jolie murano !! J’ai reçu aussitôt avec le certificat d’authenticité et je suis ravie !! Comme sur la photo !! Excellent !!</t>
  </si>
  <si>
    <t>Commandé en taille 45 reçu 48 .chercher le malaise Parfait en atelier</t>
  </si>
  <si>
    <t>Très satisfaite Livraison très rapide et bon produit. C'était pour offrir et ça à beaucoup plu. Je recommande</t>
  </si>
  <si>
    <t>Parfait Taille très bien bonne qualité</t>
  </si>
  <si>
    <t>Qualité et stabilité Très bonne qualité super stable</t>
  </si>
  <si>
    <t>Magnifique bracelets Magnigique. Conforme à la photo. Emballé individuellement. Dommage qu'il n'y avait pas une petit pochette, style cadeau inclus. Délais de livraison respecté. Tout est impeccable.</t>
  </si>
  <si>
    <t>RAS livraison un peu longue mais c'est notifié. Ras au niveau du produit, fonctionne très bien</t>
  </si>
  <si>
    <t>A trouvé' sa place dans mon intérieur Livraison dans les temps Facile d'utilisation et très jolie</t>
  </si>
  <si>
    <t>chemise manches longues produit recu avant la date prevu, tres bonne matiere, douce a porter, adapter a ma taille, tres contente de mon achat je recommande</t>
  </si>
  <si>
    <t>Rien à dire Lot de 4 cartouches pour imprimante. Cartouches «&amp;nbsp;constructeurs&amp;nbsp;» donc pas de surprise. Tout marche bien. Qualité et sérieux signé HP... Tout va bien !</t>
  </si>
  <si>
    <t>Super sac Super. C'est exactement le sac que je voulais. Conforme à la description</t>
  </si>
  <si>
    <t>Génial Vraiment génial Ideal pour faire du sport très compact sans fil parfait pour la musculation et la course à pied j'adore ce produit je le recommande à 100 pourcent</t>
  </si>
  <si>
    <t>Très bon micro avec une bonne portée de son ! Je cherchais un micro pour les enfants qui soit sans fil et qui puisse directement transmettre le son sans ampli. Je dois dire que j'ai été assez étonné de ce produit qui envoi du son par les 4 côtés du micro. Il va tellement fort que je dois des fois demander à mes enfants de diminuer le son. Ce micro peut également être utile pour parler devant un grand nombre de personnes etant donné sa portée.  Il est bien construit et possède même un mode "écho" qui peut s'avérer pratique. Le fait de devoir laisser appuyer sur le bouton on off se manière plus longue reste intéressant pour éviter toute fausse manoeuvre. Ma seule critique est que j aurai préféré avoir un modèle noir plus partout qu' un rose davantage dédié qu'aux enfants ou à un public féminin. ca reste un très bon produit rapport qualité prix  !</t>
  </si>
  <si>
    <t>Rien Je me suis trompé</t>
  </si>
  <si>
    <t>Chaussure mauvaise qualité Je m'en sert en temps que menuisier en atelier et j'ai du avoir un de faux de qualité car les chaussure ce son casser au niveau de la semelle elle ne sont vraiment pas faite pour une marche soutenu je ne recommande pas cette achat</t>
  </si>
  <si>
    <t>Moyen Je trouve que la brosse est un poil trop petite et perd ses poils c'est pas top...Pas de grande qualité je trouve...</t>
  </si>
  <si>
    <t>Presque parfait L'aspect du sac est très beau. Il parait solide, l'avenir dira si c'est le cas. Il est grand avec quatre poches extérieurs ce qui est vraiment pratique. Par contre, je suis déçue car la deuxième poche ventrale (celle qui est à l'arrière du sac, est trop petite pour un ordinateur 15,6" (et surement pour un 15" aussi), l'autre l'est assez mais j'espérais mettre l'ordinateur dans l'autre.</t>
  </si>
  <si>
    <t>Conforme pack noir et couleur pratique, toujours un peu cher pour consommables</t>
  </si>
  <si>
    <t>montre invicta tres belle montre de tres bonne qualité une vrai montre automatique pour le prix je la conseille énormément un tres belle achat elle ressemble énormément a une grande marque de luxe suisse</t>
  </si>
  <si>
    <t>Ardillons non adaptés ! Beau bracelet cuir mais les ardillons métalliques présents dans le bracelet étaient trop courts et ne permettaient pas au bracelet de tenir. J’ai donc dû les retirer ce qui m’a pris pas mal de temps et j’ai mis des ardillons adaptés. Ce n’est pas normal et j’ai failli retourner ce produit !</t>
  </si>
  <si>
    <t>J'adore Je suis complètement fan !! Je trouve sa très jolie, pratique, je peut mettre mes biberons et tétine en toute tranquillité.  Je le recommande</t>
  </si>
  <si>
    <t>Fonctionne correctement Pas de problème, reçu rapidement, fonctionne correctement. Mais j'ai trouvé que la recharge se vidait vraiment rapidement. Elle n'a duré que 2 semaines je dirais et je n'ai pas tant écrit que ça (corrigé des copies...)</t>
  </si>
  <si>
    <t>impeccable Ces polos ont une très bonne présentation. Ils semblent être de très bonne qualité et de bonne tenue. Ils passent très bien en machine, sans risque de dégradation ou de décoloration</t>
  </si>
  <si>
    <t>Excellente huile essentielle ! Je ne m’en passe plus Parfait pour purifier votre peau en douceur au quotidien. Je la mélange avec de l’huile de jojoba et cela me fait un sérum incroyable pour le visage !</t>
  </si>
  <si>
    <t>Idéal Mon fils est diabétique et il emporte son nécessaire chaque jour avec lui, ce sac contient tout ce qu'il faut pour sa survie, c'est sa deuxième peau. Il avait exactement le même en gris, il lui a duré 3 années, jusqu'à ce que la fermeture éclair montre des signes de faiblesse. 3 ans, c'est très bien pour une utilisation aussi intensive. De plus, il passe en machine à 30 degrés (avec un usage quotidien, il faut le faire régulièrement). Ses précédents modèles étaient moins solides, nous allons donc désormais rester fidèles à Eastpak. J'aime les 3 compartiments, pour bien séparer ce qui est médical, ce qui est alimentaire (pour se sucrer) et les affaires personnelles (clés, papiers, téléphone). Pour nous, c'est LE modèle idéal.</t>
  </si>
  <si>
    <t>génial Un seul mot "Top"</t>
  </si>
  <si>
    <t>Pantalon chic Joli pantalon de taille et longueur nickel. Il fait classe.</t>
  </si>
  <si>
    <t>Bonne qualité de son pour son prix Ces écouteurs ont une bonne qualité de son et sont pratiques avec leur petite taille. Je ne les utilise pas pour le sport par peur de les faire tomber.</t>
  </si>
  <si>
    <t>Percing nickel Très contente de mon achat je cherchais un percing comme cela et à petit prix Je suis ravie</t>
  </si>
  <si>
    <t>Super Livraison rapide, chaussures confortables, taillent bien</t>
  </si>
  <si>
    <t>Impeccable Très bon produit comme tous les Faber-Csatell, pack pratique et complet. Utilisation parfaite pour le dessin. Correspond complètement aux besoins de ma fille.</t>
  </si>
  <si>
    <t>très bons chaussons pour hiver pour la maison plus froid aux pied c'est top !</t>
  </si>
  <si>
    <t>Super casque Casque avec une bonne qualité sonore, des lignes lisses et belles, j’ai abandonné le casque depuis que j’ai eu ce casque.</t>
  </si>
  <si>
    <t>Très bien pour relier ma platine Meuble des années 70, vieille platine et vieux lecteur à bande, grace à ce cable à prix bas, tout fonctionne AU POIL, le son est propre et pas de grésillements</t>
  </si>
  <si>
    <t>S'utilise sur toutes les parties du corps Masse toutes les zones du corps même si les "têtes" de massage sont plutôt destinées à la tête. Il y a deux vitesses de rotation qui permettent de s'adapter aux différents besoins. L'appareil n'est pas lourd et pas imposant, ce qui le rend très maniable. C'est pas mal pour détendre les muscles après le sport(les mollets chez moi après le footing). La charge tient longtemps, après une semaine il n'est pas encore déchargé et pourtant mes enfants l'utilisent régulièrement.</t>
  </si>
  <si>
    <t>Se dictaphone va vous surprendre Bonjour J ai acheté se dictaphone pour la prise de notes et réécoute d ' une formation  Je suis agréablement surpris de ses dimensions très petit ( voir photo a côté de un stylo pour vous donnez une idée )  Très simple d'utilisation utilisation - bouton enregistrement - volume + et - - menu - avence et retour  Il s'agit éteint pendant les silences et reprend automatiquement des qu il détecte un bruit  Sur une journée de cours il a enregistré 4 h sans soucis de batterie ou de coupure ( voir photo )  Le son est claire dans une salle de cours de 40 M2 environ avec 30 de personnes  Mon pc sous windows 10 a reconnu le dictaphone sans problème et vous avez facilement accès au fichier audio ( voir photo )  Merci de m'indiquer si mon commentaire vous a ete utile pour votre choix</t>
  </si>
  <si>
    <t>Parfait... Pair de sneakers cuir, parfaite pour une utilisation de tout les jours... (revoir la description/traduction idiote : "sneakers bas du cou" !!!</t>
  </si>
  <si>
    <t>même type de modèle pour les hommes comme pour les femmes?... Ce modèle taille assez grand. Je pense que je n'ai plus qu'à y mettre des semelles! C'est un modèle adulte que j'ai acheté pour mon fils, jusqu'à présent je n'ai jamais vu de différence suivant les modèles prédestinés, ce sont normalement les mêmes chaussures pour les hommes comme pour les femmes... Non?</t>
  </si>
  <si>
    <t>Problème d'écoute prolongé et taille de casque Très mal aux tympans ! La réduction de bruit créée comme une présurisation dans l'oreille qui ne me permettait pas de garder le casque plus d'une heure sans souffrir.</t>
  </si>
  <si>
    <t>qualité lamentable incroyable, les œillets sont de tellement mauvaise qualité, que les lacets ne durent que 15 jours......Ils sont dechirés, et bien sur impossible de retrouver des lacets identiques, on est oblibé d,acheter des nonames a la couleur hasardeuse ....je ne parle pas de la semelle, inexistante en epaisseur et qui s'use a vitesse grand V encore un souvenir d'enfance qui s'en va !! decu !</t>
  </si>
  <si>
    <t>Fait le job mais avec des défauts Cela fait plusieurs mois que j'utilise ce stérilisateur.  A l'ouverture, on se rend compte qu'il est assez grand, et les emplacements pour ranger biberons et tétines sont suffisants.  Il se place assez facilement dans un coin et c'est utile car avec un bébé on a besoin de place !  Concernant l'utilisation, elle est simple, mettre un peu d'eau du robinet dans le socle en bas, remplir le stérilisateur de biberons et tétines et appuyer sur le bouton. Ça prend environ 7-8 min.  J'en arrive aux défauts, lorsque le cycle est terminé, biberons et tétines sont humides, c'est normal mais ça met un temps fou pour sécher...  Le socle en bas pour mettre l'eau rouille au bout d'un certain temps.. ( voire photo)</t>
  </si>
  <si>
    <t>Qualité très correcte mais poids annoncé totalement trompeur ! Ce produit est dans la bonne moyenne de ceux essayés, surtout à ce prix et mériterait 4 voire 5 étoiles..  Avant achat l'un des seuls critères communs entre marques, à part la couleur, pourrait être le poids. Malheureusement, il est inexact, et c'est vrai pour d'autres sets de rouleaux et dans d'autres marques.  Annoncé (à ce jour) à 3.3kg, le paquet ne pèse en fait que 1.8kg... Comme c'est dans le mauvais sens, c'est très pénalisant pour les produits qui affichent des valeurs réelles !  Je l'ai signalé à Amazon mais la correction prend généralement plusieurs mois.</t>
  </si>
  <si>
    <t>elle aime ma femme adore cette  grande serie que nous lui avons commender en avez vous pour homme mais  comme celle  de ma femme  mais en 48 merci car je commenderai pour moi</t>
  </si>
  <si>
    <t>50 feuilles A4 papier adhésif blanc La livraison a été rapide. Les feuilles autocollantes sont à mon gout un peu fine. Sinon elles colles bien pour le moment.</t>
  </si>
  <si>
    <t>Bonne qualité Produit conforme à la photo. Très bonne qualité et très confortable!! Prenez votre pointure car selon les autres commentaires ça taille petit mais pas du tout</t>
  </si>
  <si>
    <t>Parfait pour les garçons Montre idéal pour le poignet d'un garçon de 10ans. En plus des multiples détails et fonction annexes, elle a tout pour leur plaire. Cependant pour un homme, je pense qu'elle serait trop petite.</t>
  </si>
  <si>
    <t>SUPER Que dire de ces mocassins? Ils ont un chaussant parfait , ont l'air assez robustes et pour le look à vous de juger!</t>
  </si>
  <si>
    <t>Bon rapport qualité/prix Le design du casque et magnifique en rose gold, la batterie du casque tient hyper bien en bluetooth. Petit bémol on entend un léger ultra son de fond, mais ce n’est pas très gênant.</t>
  </si>
  <si>
    <t>F&amp;amp;g Elles m’a pas plu du tout</t>
  </si>
  <si>
    <t>Efficaces et stables De bons écouteurs bluetooth pour bouger et écouter de la musique en faisant du sport par exemple ou la cuisine sans être attaché par un fil. Le son est bon mais manque de basses à mon goût. La connexion bluetooth avec un autre appareil est quasi immédiate: il suffit d'aller dans les paramètres bluetooth pour rendre l'appareil émetteur "visible par tous " puis on sort les écouteurs de leur coffret tout en restant proche de l'appareil émetteur, on joue un film ou de la musique et la connexion se fait. Les écouteurs gardent en mémoire le dernier appareil connecté. De plus on peut ne connecter que l'écouteur Droit (D) ou le Gauche (L). Ils sont légers et je n'ai aucun problème pour les supporter sans les perdre lors de mes activités quelles qu'elles soient. Surtout ne pas appuyer dessus pour les ajuster dans vos oreilles car toute la surface est tactile et vous risquez de hausser le son en faisant ça. Il suffit de les manipuler en les tenant sur les côtés. Bon! Il y a un mode d'emploi livré avec mais en gros pour les dyslexiques 😂 et les Jean-Claude Vandamme 🤣🤣: _1 tap long (2 ou 3 sec) pour activer ou désactiver le contrôle vocal Google assistant. _Deux taps courts pour mettre en pause ou remettre en mode lecture. _1 tap court sur le Droit pour hausser. _1 tap court sur le Gauche pour baisser. _3 taps sur le Droit pour suivant _3 taps sur le Gauche pour précédent La 1ere journée, on rame un peu, mais le lendemain on nage comme un poisson dans l'eau. Ça fonctionne parfaitement bien, pour l'instant : RAS.</t>
  </si>
  <si>
    <t>Les couleurs qui changent à la lumière Un cadeau</t>
  </si>
  <si>
    <t>Rapport qualité prix excellent Rapport qualité prix super je l'ai est achète pour courir avec mon chien et après des mois a courir dans la boue les cailloux la neige...aucun problème toujours en parfait état sans en prendre particulièrement soin niveau confort au top bon amorti</t>
  </si>
  <si>
    <t>Facile à nettoyer et grand Nous profitons de la qualité des biberons MAM pour notre fille qui n'a plus besoin de biberon anti colique et boit de plus grands biberons. Les dessins sont jolis, le nettoyage toujours aussi facile, la qualité top.</t>
  </si>
  <si>
    <t>🌟 Son et Lumière 🌟 Mon fils me demandait depuis un petit moment de lui changer son vieux radio réveil écran rouge, vous savez le bon vieux radio réveil ...  Visuellement, celui ci présentait bien je me suis laisser tenter !  Et que je suis content de mon achat ! Le haut parleur est vraiment d’une super qualité, le comtoir lumineux ambiant est vraiment top, et je ne pensais pas que la radio était Rds ! Recherche des chaînes automatique avec enregistrement des programmes, et même fonction endormissement avec des mélodies pour dormir !!  Vraiment trop content mon fils est au ange et il lui tarde de l’utilise à la rentrée !</t>
  </si>
  <si>
    <t>Écouteurs Bluetooth J'ai acheté ce produit pour pouvoir écouté la musique en pratiquant la course à pied et du VTT. Résultat très très bien rien à dire. On oublierai presque que nous avons des écouteurs dans les oreilles. Très très bon achat que je conseille fortement</t>
  </si>
  <si>
    <t>Bonne demelle antidérapante. Chaussons tres confortables, j'ai des soucis de marche et ils tiennent bien aux pieds, à verifier dans les escaliers</t>
  </si>
  <si>
    <t>Très bon produit J'adore les chaussons, il sont confortable et surtout ils tiennent chaud aux pieds J'adore je recommande</t>
  </si>
  <si>
    <t>Bon Bon</t>
  </si>
  <si>
    <t>Très confortable et livré rapidement Très confortable, bonne taille, comme décrit très joli, je recommande cet article</t>
  </si>
  <si>
    <t>Super pack Je recommande ce pack ! Avec ce pack on est tranquille un moment. 6 biberons suffisent ! Super produit et joli je recommande</t>
  </si>
  <si>
    <t>Bon produit Cordon de bonne facture. Malheureusement je me suis trompé de connectique. Du coup j'ai recommandé le bon modèle.</t>
  </si>
  <si>
    <t>Pas belle Cette montre est trop basique dans la présentation. Pour le fonctionnement nous verrons à l'usage. Dommage pour le look trop simple</t>
  </si>
  <si>
    <t>Déçue chaussures sales et mauvaise gestion des soucis de transports Chaussures supposées être blanches or elles ne le sont pas! Plutôt blanc cassé ou blanc sale, je dirais. Une tâche jaunâtre sur la devanture de l’un des pieds. Très déçue... je ne recommande absolument pas à ce prix en plus! Par ailleurs, le colis a été égaré par le transporteur et je n’ai eu aucun retour du vendeur concernant sa procédure auprès de son transporteur. Déçue!</t>
  </si>
  <si>
    <t>Produit ouvert non conforme à l'annonce Bonjour J'ai commandé un produit neuf, je reçois un produit d'occasion ouvert. Déçu du manque d'info et de considération du client. Ne recommande pas !</t>
  </si>
  <si>
    <t>Un peut déçu Papier pas de grande qualité</t>
  </si>
  <si>
    <t>Déçu des basses amateur de qualité de son, et surtout des basses profondes, je suis un peu dessus sur ce niveau. Très confortable, très léger, son clair et propre, mais les basses ne sont vraiment pas "extra" ... surtout avec du volume fort, elle disparaisse malheureusement ...  Je vais songer à un échange certainement</t>
  </si>
  <si>
    <t>Mignon biberon Ce biberon Philips Avent est plutôt rigolo avec ses trois petits tigres.  Il a une contenance de 260 ml et il est conçu pour les bébés de plus d'un mois. Sa tétine à bout large permet à bébés de bien la mettre en bouche.  Un système anti-colique y est intégré. La prise en bain du biberon se fait facilement. Il est top mais tout de même un peu cher pour un biberon.</t>
  </si>
  <si>
    <t>Hautement recommandé Bon rapport qualité-prix, superbe bracelet de montre</t>
  </si>
  <si>
    <t>Beau pas cher Ma deuxième peau</t>
  </si>
  <si>
    <t>La contention dans la chaussette et surtout la matière. Contente de mes achats,j'en ai acheté 4 paires,pas en même temps . J'ai fait un essai et comme en pharmacie il y a très peu de coton et étant allergique, J'ai misé sur celle ci et tout va bien.</t>
  </si>
  <si>
    <t>Rien à redire. Parfaite en toute occasion</t>
  </si>
  <si>
    <t>Bon’e Qualité Au top. Très joli sweat -shirt, bonne qualité même après plusieurs lavage. Taille correctement.</t>
  </si>
  <si>
    <t>Très Bien. Très mignonne petite boite, très bien commentée, il y a même un petit dépliant pour commenter une bonne quantité de pierre.</t>
  </si>
  <si>
    <t>Au top Très jolies baskets</t>
  </si>
  <si>
    <t>Merci Tres bonne qualité</t>
  </si>
  <si>
    <t>Colle Un peu cher mais très bien</t>
  </si>
  <si>
    <t>indispensable mais graduations à revoir simple à utiliser même si les gradations du récipient-mesure mériterait d'être en couleur. elles sont en relief mais cela ne rend pas la lecture plus facile pour autant. je dois parfois mettre plus d'eau qu'indiqué car cela ne chauffe pas assez. beau design épuré.  je l'utilise aussi bien pour réchauffer que décongeler. j'ai des biberons Philips avent et des pots de conservation de la même marque.  acheté avec branchement maison uniquement.</t>
  </si>
  <si>
    <t>Super Géniaux Doux, chauds, confortables et très beaux!!!</t>
  </si>
  <si>
    <t>bien bien bien facile a utiliser, design sympa. Les différentes intensité de lumière sont agréable pour se lever doucement. top top pour ceux qui galère au réveil</t>
  </si>
  <si>
    <t>Très sympa ! Mais plus fille que garçon Le rendu du cadran digital sur fond noir est très cool, surtout avec le boitier doré ! Juste attention car le bracelet devient de plus en plus étroit au niveau du fermoir, ce qui rend la montre assez féminine. Moi qui suis un homme avec un poignet assez large ça faisait bizarre.</t>
  </si>
  <si>
    <t>Très bien En matière très douce, ce coussin chauffe bien. La commande est un vrai plus, tout comme le fait de pouvoir le passer à la machine. Il remplit tout à fait sa fonction. Je l'ai pris pour des problèmes de tendinites et de trapèzes régulièrement noués.</t>
  </si>
  <si>
    <t>Sacoche J'ai acheté cette sacoche pour mon frère, elle est très solide et waterproof, l'article est arrivé avant la date prévue, il s'en sert tous les jours et en est très satisfait.</t>
  </si>
  <si>
    <t>Montre homme Elle a beaucoup de classe Elle est très jolie Reçue dans un bel  emballage</t>
  </si>
  <si>
    <t>Un super produit resistant Je recommande a 100% ce verre trempé, il est solide et il est fournis avec sa lingettes. Tout était très bien emballé et le vendeur est vraiment très gentil, c'est une personne très agréable. Je vous conseille ce produit si vous souhaitez protéger vos téléphones des chocs. Merci pour ce produit il me sert quotidiennement et protège mon téléphones d'éventuels rayures ou chocs et je suis vraiment ravie de l'avoir, j'en achèterai sans hésiter .</t>
  </si>
  <si>
    <t>montre homme ? montre homme ???? vraiment petite . je voulais la même montre que j'avais dans les années 80...... déçu</t>
  </si>
  <si>
    <t>Très déçu de mon achat ! Mauvaise expérience ne fonctionne plus un bout d’un mois ! Impossible de charger les écouteurs !</t>
  </si>
  <si>
    <t>deçus premier lavage  et le pull est complétement détendu je ne peu plus le mettre j'espére q'Amazone aura la gentillesse de m'offrir un petit bon d'achat ! mes j'en doute car depuis la petite fortune que j'ai dépensé chez amazone depuis des annérs mais j'en doute cordialemen.</t>
  </si>
  <si>
    <t>Qualité prix top mais bruyante Design sympa et rapport qualité prix pour l'instant top, gros bémol pour le bruit qu'elle fait et prévoir de faire bouillir du vinaigre blanc 1 ou 2 fois par semaine car le calcaire de l'eau fait très vite tâche sur cette belle bouilloire, le Led est un +, dommage qu'il ne s'allume que lorsque l'on met l'eau à bouillir</t>
  </si>
  <si>
    <t>Attention à la couleur ! la trousse est de bonne qualité, hors j' ai reçu une trousse de couleur Kaki.... Cependant je n' ai pas fait attention dans l' intitulé de l' article il n' y avait pas de couleur d' indiquée. Mais la photo donne une couleur gris foncé, donc je me suis fais avoir.</t>
  </si>
  <si>
    <t>Bonne bouilloire intérieur Inox basique avec bonne capacité (1.7L) Bouilloire qui fait l'essentiel : chauffer de l'eau à 100°C (pas de sélecteur de température, pas de matien au chaud). Pas de lumière de toutes les couleurs et qui ne se désactivent pas ici.  + : Intérieur Inox plutôt silencieuse simple avec juste le bouton marche/arret et donc moins de risque de panne  - : La quantité minimale d'eau à chauffer est de 0.8L ce qui est plutot conséquent, 0.5L voire moins aurait été préférable. La partie extérieure semble quand même assez chaude donc il faut rester prudent.</t>
  </si>
  <si>
    <t>Beau Pour le sport. Mon fils a aimé.</t>
  </si>
  <si>
    <t>👍 👍</t>
  </si>
  <si>
    <t>Bien Honnêtement cela fait l'affaire pour le tri ou poubelle normale. Pour plus de solidité jai coince le sac poubelle dans les fixations et ca tient très bien. Elle a eu beaucoup de succès.</t>
  </si>
  <si>
    <t>Trieur Envoie rapide Conforme</t>
  </si>
  <si>
    <t>Très bonne qualité A vir quand je devrais changer le saphir</t>
  </si>
  <si>
    <t>Casio... Au top comme toujours ! Casio, pas besoin de dire plus ! Au top comme d'habitude</t>
  </si>
  <si>
    <t>Bon produit et SAV Short sans couture sous robe ou jupe</t>
  </si>
  <si>
    <t>Chaussure de Sécurité parfait</t>
  </si>
  <si>
    <t>super super rapport qualité prix produits officiel de la marque je préfère acheter des gros packs car ils reviennent beaucoup moins cher car j'utilise ma sprocket surtout pour mon bullet journal</t>
  </si>
  <si>
    <t>Pierre a clipper J’adore j’ai jamais trouver si peux chère. Et la qualité est au rendez vous je ne m’y attendais vraiment pas</t>
  </si>
  <si>
    <t>Produit Très bon produit</t>
  </si>
  <si>
    <t>En compensées toujours prendre une pointure au dessus Elles sont confortables je pense les mettre tous les jours</t>
  </si>
  <si>
    <t>Excellent La commande a ete livre en temps et en heure, dans les delais prevus et en bon etat. L'article est excellent, parfait fonctionnement et correspond tout a fait a ce que j'attendais. Merci et bravo! Nathy</t>
  </si>
  <si>
    <t>Tres content Tres content des écouteurs. Je les utilises dans les transports et pour faire du sport. On peut transpirer avec, pas de probleme. Petit détail, plusieurs embouts pour oreilles sont livrés, moi qui est toujours des problemes pour faire tenir, ici aucun probleme meme pendant le running. Le son est bon, l'autonomie également (je fais ma séance de sport de 2h tranquillement). je n'ai pas essayé la prise d'appel et le micro, mais on entend lorsqu'on nous appelle.  Bon à savoir, car je n'avais pas compris à première vue. Le boitier, sans être branché, recharge vos écouteurs. Donc vous pouvez les emmener en déplacement et ils se rechargent chaque fois que vous les mettez dans le boitier.</t>
  </si>
  <si>
    <t>Superbe paire de baskets ! Taille très bien, super confortable, cette belle paire de baskets me plaît beaucoup ! Très classe, les baskets parfaites à porter en toute occasion ! Je recommande</t>
  </si>
  <si>
    <t>Mocassins Sebago Noirs Mocassins Sebago noirs taille 43 semelles cuir conforme à la commande. Très bon  rapport qualité prix.J'apprécie son côté intemporelle et habillé.J'aime également leur solidité.Envoi rapide et soigné.C'est parfait!!!</t>
  </si>
  <si>
    <t>Parfait Ce sont parfaits. Ils sont relativement souples et je suis sûr qu'ils deviendront plus doux avec le temps. Ajustement parfait si porté sans chaussettes ou avec des chaussettes fines. Achèterai la taille suivante à porter avec des chaussettes plus épaisses dans le temps froid.</t>
  </si>
  <si>
    <t>Qu'est-ce que vous attendez pour vous les procurer? Excellent produit fidèle à la photo. description parfaite.  taille parfaite  très confortable je viens de les essayer j'ai marché avec pendant 5 minutes dans la maison rien à dire!!  je recommande mille fois vraiment offre à ne pas râter.</t>
  </si>
  <si>
    <t>ne me convient pas a premiere vue ce casque était prometteur: emballage soigné, look sympa station de charge correcte. malheureusement après ce constat, le casque  ne fonctionne pas super. apres la charge de 24 h conseillé, au moment de la mise en route, rien ne se passe (malgré les bon branchements. je réessaye j'arrive à avoir un son mais uniquement côté gauche!! en essayant de changer de canal , pareil. ce casque ne me convient pas du tout. je renvoie.</t>
  </si>
  <si>
    <t>C’est pas bien C’est pas bon</t>
  </si>
  <si>
    <t>article non conforme pas aimé, non conforme à ce qui est écrit "Gel mission 3'' alors qu'il n'est mentionné nul sur les chaussures part la notion "GEL"</t>
  </si>
  <si>
    <t>Bof Très jolie mais : café moyen (pas assez en vapeur), pas de bip de fin donc la programmation doit être doublée d'un réveil synchronisé... Utilisation en programmation qui nécessite de sortir le mode d'emploi à chaque fois (à moins que vous n'ayez que cela à vous souvenir...), je ne recommande pas !</t>
  </si>
  <si>
    <t>Bon rapport qualité prix, par contre quelques petits soucis de traces d'encre quand on fait le gris Produit très bien, j'ai enlevé une étoile car quand on fait une impression en gris il ya du rose qui apparaît dans l'impression et ça fait des petits traits (peut être aussi du à mon imprimante), mais je préfère quand même le mettre. Sinon bon rapport qualité prix</t>
  </si>
  <si>
    <t>Fonctionnel et de bonne qualité apparente Bon article pour celui qui cherche un sac bandoulière élégant et de petite taille tout en disposant d'une capacité suffisante pour y stocker différents types d'articles (portefeuille, carnet de chèques, calepin, etc.). Pas adapté pour un I-pad ou même un smartphone de grande taille.  Les plus : - la poignée de portage, qu'il est rare de trouver sur un sac bandoulière de cette dimension, et qui est bien pratique quand on ne le porte pas à l'épaule. - le style sobre et assez élégant de ce modèle en cuir, discret et "jeune" à la fois ; j'ai choisi la couleur marron foncé qui va avec tous types de vêtements.  Les (petits) moins : - le rabat de devant se ferme grâce à un bouton magnétique pas assez puissant à mon goût, et qui n'assure donc pas une fermeture solide de la poche correspondante ;  par prudence, je n'y mets que des trucs plats (ex : papiers, cartes de fidélité) qui ne risquent pas de glisser hors de la poche si elle s'ouvre accidentellement. - la fermeture éclair de la petite poche plate zippée située sur le devant du sac est orientée verticalement, d'où le risque de chute de son contenu quand on l'ouvre : à l'usage, cette poche très plate s'avère seulement adaptée à une carte bancaire, mais pas pour y loger un petit trousseau de clés qu'on voudrait attraper sans avoir à ouvrir une des grandes poches principales.  Pour autant, c'est un bon produit, et je le recommande malgré les petits défauts de conception.</t>
  </si>
  <si>
    <t>baskets Un peu grand, avec une semelle ce sera parfait. Le 37 me serrait les pieds et là un peu d'espace au bout</t>
  </si>
  <si>
    <t>Relaxation Picots un peu douloureux au début, sentation de chaleur et détente avec ce tapis de fleur.  Très bon produit .</t>
  </si>
  <si>
    <t>beau Bon réveil, doux et fonctionnel, déjà il donne l'heure et me réveil chaque jours, et c'est déjà un super bon point. Ensuite le fait de pouvoir régler la couleur est un plus non négligable sur ce produit, avec une sonnerie douce. La construction est respectable et le prix est en réelle adéquation avec la qualité globale présenté ici. Bien</t>
  </si>
  <si>
    <t>En mode chill Très style</t>
  </si>
  <si>
    <t>belle montre fiable et robuste montre tout acier (même le boitier), verre très résistant, aucune rayure à ce jour. elle se recharge bien, fonctionne très bien, assez facile à régler. Dommage que le choix de la langue est oublié le français.</t>
  </si>
  <si>
    <t>Pantoufle Pour le travail ils sont bien, confortables e souples, mais il faut commandé 2 tailles plus petites Autremant ils sont trop grandes.</t>
  </si>
  <si>
    <t>Lampe vraiment géniale Enfin une vraie lampe de bureau ! éclairage à intensité variable du bout du doigt, mais aussi avec température de couleur modifiable (plutôt bleutée, blanche, orangée, etc). Idéal pour adapter l'éclairage à l'activité en cours. Rapport qualité/prix exceptionnel. Très bien emballée. Je recommande.</t>
  </si>
  <si>
    <t>Je le recommande! J'ai acheté ce sac pour mon copain, il l'aime très bien! Tout d'abord, le noir est bien assorti aux vêtements, et le noir est peu salissant. Deuxièmement, la capacité du sac est très grande et il peut contenir beaucoup de choses.La chose la plus importante est la qualité de ce sac est très bonne. Je pense que c'est un bon cadeau pour les hommes.</t>
  </si>
  <si>
    <t>Bien dans ses baskets Super baskets taille très bien. Agréable à porter. Matière souple. Jolie. Prix très correct</t>
  </si>
  <si>
    <t>Lee Cooper Workwear Lcshoe054,.. Très bon produit,  agréable à porter,  souple, légère  et peut se confondre avec une paire de basket traditionnelle. Moi je les portes toute la journée au travail et je continu de les porter avec le travail pour aller faire des courses par exemple. Je recommande  vivement ce produit.</t>
  </si>
  <si>
    <t>Parfaites Un peu de temps d'adaptation, mais sandales agréables, sobres et super résistantes.  Toujours en excellent état après environ trois ans.</t>
  </si>
  <si>
    <t>Répond à la demande Très bon bic que l on a pas besoin de tout jeter quand il est vide juste changer la cartouche effaçable le 👍</t>
  </si>
  <si>
    <t>très bien très bonnes chaussures de sécurité ,confortables et pour moi qui ai le pied large je n'ai absolument pas eu mal même le premier jour .Je dirai même qu'elles sont beaucoup mieux que celle fournies par mon employeur .J’espère que cette marque durera très longtemps pour que je puisse retrouver les mêmes dans un an :)</t>
  </si>
  <si>
    <t>Contente Bon maintien en vu de mon métier sportif. Je suis ravie</t>
  </si>
  <si>
    <t>tres satisfaite Weleda est une marque dont sa reputation n'est plus a faire! Produit de super qualité et tres efficace si bien utilisé comme indiqué sur la notice! Pas une seule vergeture n'a pointé le bout de son nez</t>
  </si>
  <si>
    <t>Sweat Très joli sweat. Supporte bien le lavage en machine (30°). Matière synthétique</t>
  </si>
  <si>
    <t>Très bons écouteurs Je ne peux pas les comparer à des écouteurs hauts de gammes car je n'en ai jamais eu la possession, mais de tous ceux que j'ai eu, pour à peu près le même prix (en général 20€), ce sont les meilleurs. J'ai été agréablement surpris, je ne m'attendais pas à cette qualité. Je tiens à préciser que j'utilise ces écouteurs pour écouter de la musique tout en allant au lycée, et pas du tout pour des sessions de game. Les + : - très élégants tout en restant style gamer - conformes aux photos - câble long - ont l'air solides autant au niveau du câble que des écouteurs - petit aimant sur le dos de chaque écouteurs, qui se rejoignent dos à dos dès qu'on les laisse pendre, ce qui permet de ne pas les emmêler - un micro, avec un bouton de contrôle (raccrocher, mettre sur pause, passer à la musique suivante) et un contrôleur de son très pratique car si on le descend jusqu'en bas, il permet de baisser le son sans le couper entièrement pour entendre quelqu'un de l'extérieur sans avoir à raccrocher/couper la musique ou retirer ses écouteurs - les 3 paires d'embouts à mémoire de forme confortables (2 paires vertes et 1 paire noire) - je les ai déjà fait tomber 2 fois sans trouver d'impacts - bon son bien équilibré - la petite pochette pour transporter les écouteurs - l'adaptateur pour le mettre sur pc  Les - : - quand je suis dans le bus et qu'il y a un peu de bruit, les personnes avec qui je téléphone entendent aussi fort ma voix que celles des passagers à l'autre bout du bus, ce qui peut être gênant pour les appels - le branchement jack est droit (en I et pas en L comme sur certains) donc je ne peux pas poser le téléphone sur le côté où sont branchés les écouteurs si je ne veux pas les abîmer - j'aurais aimé qu'un raccourcisseur de câble soit fourni avec car il est un peu long pour une utilisation en extérieur (un petit truc en plastique qui s'accroche aux écouteurs et sur lequel on enroule le câble) - le micro a un style un peu cheap, sans pour autant l'être, ça contraste visuellement sur le reste  Conclusion : Les défauts de ces écouteurs sont surtout personnels, ce qui n'égale en rien la qualité du produit. C'est un très bon rapport qualité prix. Le son est très bon, ils sont confortables, solides, élégants, et pas chers. Les meilleurs que j'ai pu trouver jusqu'à maintenant. Et mon Dieu, très bon service client, et qu'est-ce qu'ils sont drôles ! (vous comprendrez quand vous recevrez le mail de confirmation d'envoi de votre commande)  P.S.: Ils fonctionnent très bien pour le moment, s'ils se détériorent et que je trouve le moindre défaut, je viendrais l'ajouter ici et j'écrirais au bout de combien de temps ils ont survenu. J'ai écrit cet avis après une semaine d'utilisation quotidienne.  UPDATE 01/02/2018 : Ça y est les écouteurs ont lâchés aujourd'hui ! J'en ai toujours pris plutôt soin, et ce matin j'ai remarqué qu'un des deux écouteurs ne fonctionnait plus. Ça faisait ~2 semaines qu'ils commençaient à avoir un mauvais contact (mettaient sur pause ou changeaient ma musique tout seuls quand je les tripotaient un peu). Visuellement, ils ont très bien tenu. Les aimants ont commencés à enlever légèrement la peinture sur le dos des écouteurs mais ça ne se voit pas et reste esthétique. Entre temps, les embouts verts se salissaient beaucoup trop vite et s'effritaient alors j'ai mis les noirs, puis j'ai perdu un des 2 noirs et la taille me gênait donc j'ai mis ceux en silicones (rien à voir, c'est beaucoup moins isolant, mais bon...). J'ai rajouté des photos de leur état actuel après 119 jours d'utilisation quotidienne. Je suis content de les avoir essayés, je me demande maintenant si je reprends les mêmes mais avec le fil tressé ou si j'en essaie d'une autre marque...</t>
  </si>
  <si>
    <t>Des coutures qui se ...décousent Le pantalon est conforme aussi bien pour la coupe que le tissu mais  les coutures se défont petit à petit!</t>
  </si>
  <si>
    <t>Défectueux Produit de mauvaise qualité la semelle se décolle</t>
  </si>
  <si>
    <t>table pliable En voyant la vidéo et image, j'avais l'impression que c'est plus solide que cela, et plus maniable Je ne peux utiliser mont portable Asus professionnel dessus car trop lourd et le plateau de soutien n'a qu'un coté de solide, mes barres empêchent de mettre mes USB multi prises, donc j'en fais un autre usage, poser mon scanner pro, plus léger, plus petit sur lequel je peux mettre les différent cordons</t>
  </si>
  <si>
    <t>Produit très pratique MAIS Attention ne résiste que très peu dans le temps, ne comptez pas sur ce produit pour votre second enfant. Nous avons eu un soucis avec le premier au bout de 2 ans, le second au bout de 2 mois heureusement super SAV  Amazon remplacement ou remboursement immédiat puisque sous garantie ! Cependant très utile, eau a parfait température pour le bib, et sympa de pouvoir emporter la partie haute du produit.</t>
  </si>
  <si>
    <t>Très fiable Très fiable bien qu'un poile trop cher malgré sa quantité, c'est présenté en rouleau d'étiquettes à double face collante. Cela permet comme le produit l'indique de l'utiliser comme une colle en plus fiable et avec un rendu plus propre.</t>
  </si>
  <si>
    <t>utilisation facile, beau design Lampe commandée pour un enfant de primaire. Facile d'utilisation concernant l'allumage/extinction. Intensité lumineuse variable, utile. Rotation adaptée. Longueur du fil jusqu'à la prise murale ok. Port USB bienvenu. Je recommande.</t>
  </si>
  <si>
    <t>Très bien mais bouloche. Chaud comme on l’attend. Anti dérapant comme on l’attend. Sensation de marcher pieds nus quasi intacte ! Mais bouloche à mort, et rapidement. Globalement un bon produit. Prévoir une taille en-dessous.</t>
  </si>
  <si>
    <t>Très chic mais présentation a revoir J'ai une amie qui est vraiment fan des bijoux en forme de infini depuis qu'elle a suivi une certaine serie a la télévision et j'ai donc décidé de lui offrir celui ci pour les fetes de noel. J'ai reçu mon colis rapidement et dans d'excellentes conditions et ça c'est le côté pratique que vous avez en étant membre d'amazon prime, pour ce qui est du packaging je pense avoir très bien fait d'ouvrir la boîte pour vérifier ce qui se trouvais dedans car très sincèrement la je peu dire que le bas blesse, le colier est arrivé dans un écrin correcte mais a l'intérieur il est présenté dans un sachet plastique et ça c'est vraiment pas gage de qualité , bref ensuite je l'ai sorti du sachet et le colier était plein de noeud au niveau de la chaîne, j'ai du mettre au moins 5 a 0 minutes a tout défaire pour le remettre correctement sur le petit carton afin de lui donner le coté bijoux chic. Autrement le bijoux en lui même est tr!s joli et la chaîne est très fine et discrète, vous avez plusieurs endroit ou l'attacher ce qui vous permet de choisir la longeur. Donc je pense que ce produit est pas mal mais sincèrement sans plus, désolé.</t>
  </si>
  <si>
    <t>J’adOre Sa fonctionne très bien</t>
  </si>
  <si>
    <t>Hosaire Boucles d'oreile Femme torsion longue houpe Très beau! Ils sont brillantes et légères. J'aime la façon dont les boucles d'oreilles juxtaposées se déplacent d'avant en arrière.</t>
  </si>
  <si>
    <t>Bien, pas de moustique. Anti-moustique très efficace la nuit fenêtre fermés ou légèrement ouverte.</t>
  </si>
  <si>
    <t>Conforme Très joli</t>
  </si>
  <si>
    <t>Magique! A avoir absolument. Absolument RAVIE de ce produit que je viens de découvrir. C'est un must-have absolu dans les produits ménagers de la maison! Je suis assez choquée de son efficacité, mon linge est ressorti bien blanc alors qu'il était grisonnant depuis bien longtemps, les tâches disparues alors que tous les produits y étaient passés sans succès, et on dirait qu'il décuple l'efficacité de la lessive car mon linge a une odeur absolument divine de propre frais. Je ne trouve pas les mots tellement j'en suis contente.</t>
  </si>
  <si>
    <t>Tres beau collier Je suis très satisfaite de mon achat ce produit correspond tout à fait au descriptif et à a un très bel effet porté autour du coup</t>
  </si>
  <si>
    <t>Comme.il faut Il soutien bien.je fais un 90D .il taille bien. Je l utilise pour faire des sauts type corde à sauter.</t>
  </si>
  <si>
    <t>bon produit Demande de la vigilance pour ne pas trop chauffer les graines de lin. Légère odeur peu dérangeante - mais convient parfaitement pour détendre mes cervicales</t>
  </si>
  <si>
    <t>Très bien ! Efficace Un câble VGA des plus classique, qui fait très bien son job !</t>
  </si>
  <si>
    <t>Très bon produit Le produit est très bien le câble est épais et il n'est pas cher du tout... je l'ai même commandé 2 fois !</t>
  </si>
  <si>
    <t>Diffuseur Diffuseur très esthétique, silencieux et très efficace. A vivement recommander.</t>
  </si>
  <si>
    <t>super sac Belle couleur , sac costaud beaucoup apprécié par la personne à qui je l'ai offert ; il est super ,et très opérationnel !!!</t>
  </si>
  <si>
    <t>Ravi Fidèle aux attentes! A recommander bien qu’un peu encombrante mais c’est une belle G-Shock!</t>
  </si>
  <si>
    <t>boucles pendantes Jolies boucles très stylées. Un pendant parfait. Utilisées pour fêtes familiales. Du plus bel effet.</t>
  </si>
  <si>
    <t>Plus belles en réel que sur la photo Belle qualité réalisation fine et de classe. Elles rendent encore mieux que sur la photo. Système d'attache pratique et discret</t>
  </si>
  <si>
    <t>Leggings agréable Leggings confortable et agréable durant le sport (Zumba) en plus d’être assez original</t>
  </si>
  <si>
    <t>la qualité n'est pas au rendez vous !!!!!!!!! le talon flotte quand on marche car l'interieur du talon de la chaussure est en nylon ou matiére équivalente alors que l'on attend du cuir !!!!!!!</t>
  </si>
  <si>
    <t>Peinture et placo arrachés Peinture neuve de cet été. Une accroche pour une guirlande lumineuse à Noël a arraché peinture et place en plein milieu du mur du salon. Je suis déçue.</t>
  </si>
  <si>
    <t>NUL !!!! les écouteurs cassé en plus il y a du caca des oreilles dedans ce produit est vraiment une arnaque ! dire que j'ai dépensé 23 euros dans une arnaque je suis vraiment déçu en plus en voulant écouter de la musique la partie que l'on met dans le téléphone c'est cassé je vous déconseille fortement ce produit !</t>
  </si>
  <si>
    <t>Bien Assez grand, bonne qualité, mais pas vraiment noir comme sur la photo. Plus anthracite</t>
  </si>
  <si>
    <t>Je recommande Très jolie fonctionne bien.  Un peu bruyante mais ca reste raisonnable</t>
  </si>
  <si>
    <t>Évaluation d'un produit Bonjour.. article livre le 28 août 2018 ..bien avant la date limite.. c'était un cadeau Pour mon amie..donc sa lui vas bien et très contente.. Merci d'avance</t>
  </si>
  <si>
    <t>Bien Le produit est vraiment bien, il sent bon, il est agréable sur la peau. Le seul point négatif (c'est purement subjectif) c'est qu'il n'y a pas assez de bille comparé au soin en lui même.</t>
  </si>
  <si>
    <t>J'aime ça Pas mal</t>
  </si>
  <si>
    <t>Bien Nickel</t>
  </si>
  <si>
    <t>LE kit de naissance ! Un kit de naissance parfait, avec à la fois des biberons en verre (c'est ce qui est le moins toxique), des tétines de rechange, et une tétine-sucette à mettre dans la valise de maternité. Les tétines sont bien adaptées à bébé, le kit est évolutif, c'est parfait pour les premiers mois !</t>
  </si>
  <si>
    <t>Génial Trés pratique pas encombrant</t>
  </si>
  <si>
    <t>très sympa, nice j'ai pris la taille xxl et ça me va grâce à l'élastique, je fais du 50 / 52  la forme et la matière sont agréables à porter  perfect, thank you!</t>
  </si>
  <si>
    <t>J'aime beaucoup Je suis fan de bougies  : bougies cierges que je mets dans une lanterne et bougies chauffe plat, dans un photophore! (sécurité oblige) j'en allume une avant de m'endormir dans un photophore, ça m'aide à rejoindre les bras de Morphée. Les Led ne parviendront jamais à imiter la chaleur de la petite flamme. Et ainsi ces bougies là sont très bien!!!!</t>
  </si>
  <si>
    <t>Parfait Pas beaucoup de bruit, facile d'utilisation, vraiment surpris de la qualité de ce produit j'en reprendrai un second plus tard car il est super !!</t>
  </si>
  <si>
    <t>un produit multi-usages très efficace. J'aime particulièrement ce produit parce qu'il permet de tout nettoyer et qu'il est très simple à utiliser. Je l'utilise surtout dans la cuisine et il est parfait.</t>
  </si>
  <si>
    <t>Nikel Mon fils est ravi Superbe</t>
  </si>
  <si>
    <t>Bonne montre solide Très jolie et costaud</t>
  </si>
  <si>
    <t>Parfaite Tout simplement parfaite j'en avais déjà acheté deux paires et j'adore</t>
  </si>
  <si>
    <t>Très bon rapport qualité / prix Très beau produit, arrivé et livré à la date prévue. Confortables avec les semelles mais aussi sans : j’ai plus de sensations «&amp;nbsp;pieds nus&amp;nbsp;» sans les semelles. A tester pour marcher sur le sable ou dans l’eau... et dans le temps !</t>
  </si>
  <si>
    <t>Digne d'une montre de qualité fossil Elle est sublime et conforme à sa description. Rien à dire pour tout le moment  (à voir dans le temps)</t>
  </si>
  <si>
    <t>PARFAIT très bien pour le début de l'apprentissage de la lecture. les syllabe muettes, des mots courts et simple. Des petites histoires idéales pour le soir avant d'aller dormir même fonction d'apprentissage qu'à l'école donc l'enfant n'est pas déstabilisé.</t>
  </si>
  <si>
    <t>Parfait - Livraison dans les temps. Conforme au descriptif.</t>
  </si>
  <si>
    <t>Maniable Je suis très contente de ce ciseau cranteur . Coupe facile à travailler jusqu'à la pointe , précision de la coupe , bonne longueur . Quel changement avec mon ancien ciseau très lourd , aux grosses lames ,et raide à manœuvrer qui est parti à la décharge !</t>
  </si>
  <si>
    <t>Dépitée J'avais acheté celui pour garcon et je l'ai trouvé assez moderne, bien construit. Celui ciest bien construit mais completement demodé: approche un peu sexiste poussant les filles à se raser, le clitoris est un ptit bouton, les options pour les regles sont uniquement jetables, bref, un contenu digne des annees 90, dommage.</t>
  </si>
  <si>
    <t>Grande déception pour le scrapbooking sur feuille noire!!!! Bonjour Je cherchais pour ma fille des feutres pour scrapbooking sur feuilles noires, et la photo montrée sur Amazon est trompeuse...on devine à peine les écritures alors que sur la photo, elles sont lumineuses et facile à lire...Dommage ...je ne le conseille pas pour cet usage..</t>
  </si>
  <si>
    <t>Pas si efficace que ça! Contrairement à toute la pub faite sur ce produit, je ne l'avais pas encore essayé. Un gros pot était l'idéal pour en avoir d'avance persuadé que j'étais que Vanish était le plus efficace des antitaches! Las! J'ai commencé par un programme de linge à 30° Toutes les taches étaient toujours là. A moins de laver à 60° seul température efficace, les taches ne partent pas, mais tout le linge ne passe pas à cette haute Température. Je me suis débrouillée avec mes anciennes habitudes pour venir à bout des taches de sauce tomates, etc.</t>
  </si>
  <si>
    <t>A voir Mais je ne l'ai pas utilisé au final car chauffe des biberons beaucoup trop longue, bébé nouveau né ne peut pas attendre si longtemps que ça chauffe</t>
  </si>
  <si>
    <t>Dr Martins 1460 56 € sur Amazon au lieu d'un prix moyen à plus de 140 € . Tout est dit ! Prendre tjrs une taille en dessous de sa pointure habituelle. Si vous faites du 43, achetez du 42.</t>
  </si>
  <si>
    <t>Bon Ras</t>
  </si>
  <si>
    <t>Confortable J'aime beaucoup ce legging. La matière est ultra douce, bonne élasticité. Les couleurs sont superbes, les motifs de qualité. Il se porte très bien, je suis tellement à l'aise dedans ! J'ai acheté 2 modèles de la même marque, aucun regret. La  taille est adaptée et pour le prix c'est très correct</t>
  </si>
  <si>
    <t>Chaussure victoria Rien à dire produit de bonne qualité ma fille en ai ravi elles sont vraiment belle</t>
  </si>
  <si>
    <t>Tres bien et agreable Agréable  et très beau produit.</t>
  </si>
  <si>
    <t>Somptueuse Grand fan de la marque et possédant pas mal de modèle je peux vous dire que cette GShock est un must have a posséder de toute urgence Robuste , lisible pratique elle est juste terrible et m’accompagne tout les jours dans toute situations extrême (travail , piscine , douche ....) bravo casio et merci amazon pour la trouver à un prix bien inférieur au commerce Vous hésitez ? Foncez elle est splendide</t>
  </si>
  <si>
    <t>Pour les loisirs Idéale pour tous les loisirs où l'on risque de perdre ou d'abîmer sa montre, par exemple la piscine ou la plage. Elle ne se casse pas facilement, elle ne se dérègle pas trop, et le rétro-éclairage peut rendre service. Évidemment, elle ne passe pas du tout dans les situations où l''on veut avoir l'air un minimum élégant.</t>
  </si>
  <si>
    <t>L'utilisation du produit Je suis très contente de mon gratte-langue ; il est très facile d'utilisation et se range parfaitement dans sa petite pochette en lin que je trouve vraiment trop mignonne c'est un petit plus qui fait la différence avec un autre produit.</t>
  </si>
  <si>
    <t>COUSSIN DE MASSAGE A TRANSPORTER PARTOUT Cadeau apprécié et utiliser de manière régulière par mon amie. De petite taille, mais remplit bien ses fonctions. Je recommande le produit.</t>
  </si>
  <si>
    <t>Lumineux J'ai acheté ce diffuseur pour remplacer mon ancien qui m'a lâché, il est pareil, même capacité, même fonction... Il est sobre est passe presque inaperçu dans la maison, pas cher. C'est un bon compromis.</t>
  </si>
  <si>
    <t>Stylo bic Stylo bic simple</t>
  </si>
  <si>
    <t>Bouilloire très utile pour tout type et avec gestion de température C'est clairement une bouilloire haut de gamme, dans laquelle on peut garder l'eau au chaud, sa capacité est incroyable et on peuts ans problème gérer la température sur plusieurs niveau, 70, 80, 09 ou 100 Degrés selon son utilisation, ce qui est raremant faisable. Je recommande ce produit sans hésiter.</t>
  </si>
  <si>
    <t>très bien Je suis contente de l'article Super rapide et silencieuse, je la recommande prix très attractif , très jolie dans ma cuisine !</t>
  </si>
  <si>
    <t>Parfaitement satisfait Pour un prix très démocratique voilà un bel objet se mariant parfaitement bien avec la montre Fossil Q Commuter (argent). Livraison très rapide, boîte scellé contenant les outils pour installer ce bracelet très facilement à la dimension de votre poignet en une vingtaine de minutes. Il faudra voir avec le temps pour la qualité globale. Dans tous les cas je suis très satisfait et je recommande ce bracelet montre...  Cordialement</t>
  </si>
  <si>
    <t>Chaussons pour invités Bah écoutez, j'avais une appréhension au vu des commentaires, mais pour des chaussons d'appoint (donc uniquement pour les personnes de passage), ils sont bien, on a pas eu de soucis! précision: les personnes à qui je prête ces chaussons ne sont pas du genre à traîner les pieds quand elles marchent, donc c'est peut-être pour ça que les chaussons restent solides! ;)</t>
  </si>
  <si>
    <t>Etui Très bon produit.  Je l ai acheté pour mettre ma carte grise et je ne suis pas déçue.  Les dimensions sont parfaites.</t>
  </si>
  <si>
    <t>Qualité/Prix au top Très joli bijou, la propriétaire en est contente et l'a portée 2 semaines avant d'en changer à son habitude.  C'est de l'argent, le collier est fin, il laisse place à ce flocon de neige très joli à voir.</t>
  </si>
  <si>
    <t>Radical !!! Utilisation cet été en Charentes . Très efficace dès le premier soir branché dans le salon .  C’est simple je me suis rendu compte que le réservoir était vide un soir 1 mois et demi après  en me faisant piquer par un moustique . J’ai remis une prise le lendemain le temps de les retrouver et plus aucuns problèmes !!! Ça nous change la vie en été !!!!</t>
  </si>
  <si>
    <t>Saftey Jogger BESTBOY chaussures de sécurité L'article reçu correspond à la photo et au descriptif. Il chausse légèrement plus grand, mais avec des chaussettes plus épaisses c'est parfait. Satisfaite, je le recommande</t>
  </si>
  <si>
    <t>Très instructif Ma nièce est ravie de ce cadeau d'anniversaire</t>
  </si>
  <si>
    <t>chaussures avec les deux semelles décollées La livraison a été rapide, le modèle et la couleur de la chaussure étaient conforme à la description, mais, les semelles des deux chaussures se sont décollés dans les bords au bout d'une semaine. On m'a proposé d'être remboursé car, on ne pouvait pas m'envoyer les mêmes chaussures. J'ai préféré le réparer avec mon cordonnier car, j'aime bcp le modèle. C'est la première et la dernière fois que j'achète des chaussures sur internet. C'est dommage.  Rozas</t>
  </si>
  <si>
    <t>Fausse pierres La seule vraie pierre c'est l' œil de tigre le reste c'est du plastique</t>
  </si>
  <si>
    <t>Jamais utilise jamais fonctionne Le câble ne fonctionne pas. Première utilisation pas son du tout je l'essai sur d'autres instruments et il ne fonctionne pas</t>
  </si>
  <si>
    <t>Prendre une taille en plus pour les manches Bien sauf que j' aurai du prendre une taille en plus . Sinon ils sont très agréable.</t>
  </si>
  <si>
    <t>Bon casque, mais pas pour tout le monde. Je vais faire vite concernant la qualité sonore : c'est très bon, très neutre, dynamique... En revanche, le casque s'adresse vraiment à un public professionnel, dit "de terrain", ainsi, si sa robustesse et son maintien feront la joie des DJ et des preneurs de son, c'est moins évident pour le grand public. Pour écouter votre musique en sédentaire, ce n'est pas un choix idéal car il serre beaucoup, provoquant des douleurs aux oreilles au bout d'une heure d'écoute, même sans lunettes. Et en usage nomade, ce n'est pas un choix idéal car l'isolation n'est vraiment pas terrible, dans les deux sens, vos voisins entendent ce que vous écoutez et vous entendez pas mal l'extérieur. Je l'ai renvoyé au profit du MSR-7 de Audio-Technica qui propose les mêmes qualités sonores (neutralité, dynamique...) tout en proposant un confort et une polyvalence accrus. (meilleure isolation notamment) De plus, le packaging de ce Sennheiser laisse à désirer, on a le casque... et c'est tout... pas de housse, pas de second câble, rien... et le casque est présenté sur un bout de carton, j'ai limite eu l'impression de déballer un casque de chat Xbox à 10€.  Pour résumer : excellent son, robuste, mais peu confortable, ni pleinement adapté à un usage nomade ni sédentaire, packaging famélique. En revanche, les DJ, preneurs de son, ou même les sportifs apprécieront un son neutre et un maintien sur la tête irréprochable.</t>
  </si>
  <si>
    <t>TRES BIEN J'utilise beaucoup la marque eastpak  pour sa solidité, notamment avec les sacs à dos pour les enfants Je déplore juste que les dimensions soient un peu petites et que la poche avant soit quasiment inutilisable à cause du rabat qui ne permet pas de l'ouvrir en plein mais la poche arrière n'a pas de rabat et c'est tant mieux</t>
  </si>
  <si>
    <t>Pas mal Niquel et léger</t>
  </si>
  <si>
    <t>RAS Produit conforme aux normes et descriptifs.</t>
  </si>
  <si>
    <t>Superbe Conforme et tres jolie..je conseille ..moi elle me quitte plus..</t>
  </si>
  <si>
    <t>Stabilo original Classiques mais tres bien, dure longtemps et couleurs originales, je recommande ! Dommage, il manque le surligneur violet dans les couleurs classiques.</t>
  </si>
  <si>
    <t>trés bien écrit  et conviviale pour les enfants trés bien écrit  et conviviale pour les enfants PARFAIT pour noel</t>
  </si>
  <si>
    <t>Compatible Epson XP425 J’achète ces cartouches depuis qq temps. Aucun problème avec les imprimantes Epson XP425. Pas de repères quant à la durée de vie des cartouches mais à ce prix là et avec une livraison aussi rapide (3 jours avant la date prévue), je ne me pose pas la question 😁</t>
  </si>
  <si>
    <t>Mes chaussons d'extérieur ... Quand on a connu les TBS Brandy, c'est difficile de mettre autre chose, et oui, qualité cuir et confort absolu, je pourrai marcher 3 jours non stop avec ! Le petit talon apporte un confort supplémentaire</t>
  </si>
  <si>
    <t>J'adooore! Impeccable! Incontournable pour le modèle et trop pratique pour la matière (cuir) Elles sont de bonne qualité même après les avoirs portés par temps de pluie. facile à nettoyer et à entretenir. J’espère les garder un bon moment!</t>
  </si>
  <si>
    <t>top désodorise bien, pas cher, bien après la cuisine</t>
  </si>
  <si>
    <t>Top ! Superbe couleur, confort parfait et qualité puma, je suis très satisfaite de mon achat !</t>
  </si>
  <si>
    <t>Léger, parfait pour commencer à boire seul ! Un biberon de forme triangulaire très léger muni de deux anses pour permettre à l'enfant de saisir et boire seul. La tétine est ronde, anti-colique grâce à une bonne circulation de l'air. La tétine est suffisamment souple pour être bien appréciée des tout-petits. C'est une tétine 2ème âge possédant 3 vitesses de flux.  Les tout-petits adorent le dessin de Mickey sur le corps du biberon.  Malgré la forme triangulaire du biberon, le nettoyage reste aisé, les angles étant arrondis.  Je préfère les biberons en verre pour éviter les matières plastiques mais le plastique reste un bon choix lorsque l'enfant boit/désire boire seul. Le fait que le biberon soit incassable rend le désir d'autonomie sécure.</t>
  </si>
  <si>
    <t>decollee bjr j'ai acheté ce produit , et a ce jour la semelle est décolle du bord peut on les renvoyer mzeci</t>
  </si>
  <si>
    <t>Jolie montre Cadeau de Noël pour ma maman qui m'a trouvé superbe.</t>
  </si>
  <si>
    <t>L’avis d’adele &lt;div id="video-block-R1OYBJ66D0X13S"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id="15" preload="auto" src="https://images-eu.ssl-images-amazon.com/images/I/81It75CR4gS.mp4" style="position: absolute; left: 0px; top: 0px; overflow: hidden; height: 1px; width: 1px;"&gt;&lt;/video&gt;&lt;/div&gt;&lt;div id="airy-slate-preload" style="background-color: rgb(0, 0, 0); background-image: url(&amp;quot;https://images-eu.ssl-images-amazon.com/images/I/81j1RDIj7qS.png&amp;quot;);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center;"&gt;0:05&lt;/div&gt;&lt;div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100%;"&gt;&lt;/div&gt;&lt;div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value="https://images-eu.ssl-images-amazon.com/images/I/81It75CR4gS.mp4" class="video-url"&gt;&lt;input type="hidden" name="" value="https://images-eu.ssl-images-amazon.com/images/I/81j1RDIj7qS.png" class="video-slate-img-url"&gt;&amp;nbsp;J’utilise le papier toilette humide LOTUS depuis maintenant quelques temps et j’en suis ravie,  idéal pour toute la famille enfants et Mari 😂, il mon étaient envoyés pour tester et je les ai adoptés. Après utilisation je me sens fraîche et propre je vous recommande a 100%. #MomentLotus</t>
  </si>
  <si>
    <t>Magnifique Super, va avec tout, rien à dire, magnifique !</t>
  </si>
  <si>
    <t>Recommande ++ Produit conforme à la description... Attention ne convient que pour les biberons anti colliques Closer to nature, avec le système anti air à l'intérieur</t>
  </si>
  <si>
    <t>Nickel Conforme à la description!👍🏻</t>
  </si>
  <si>
    <t>Sur huawei p20 pro marche très bien Le rode SC7 sert à alimentée le micro rode sur smartphone sa marche très bien pas de soucis. Moi j'utilise sur un huawei p20 pro et il est important de savoir qu'il faut télécharger une application qui s'appelle caméra sur playstore et aller dans les réglage pour choisir micro externe. J'explique tout sa car il ya des personnes qui comprennent rien et au lieu de chercher la solution sa pleurniche car sa ne fonctionne pas. Rien à dire sur pour le produit rode à encore géré.</t>
  </si>
  <si>
    <t>bof Trop grande, trop lourde, au quotidien c'est bien compliqué à garder aux pieds... Pour conduire, j'en parle même pas, trop rigide..</t>
  </si>
  <si>
    <t>Visuel erroné Malgré le visuel affichant 2017, c'est le bloc-pratic 2016 que j'ai reçu (et vais donc retourner à Amazon, car qu'est-ce que je vais faire d'un 2e bloc 2016 à 3 mois de la fin de l'année...).</t>
  </si>
  <si>
    <t>Deux paires à la place de trois Je suis très déçue car je n'ai que reçu deux paires dans mon colis alors que l'annonce dit trois !</t>
  </si>
  <si>
    <t>trop petit même en taille 47 c'est juste ,d'habitude je fais plutôt 46.5. J'ai du faire le renvoi. Si non très bonne qualité,et confortable</t>
  </si>
  <si>
    <t>douce et fine couverture un peu petite à mon gout. belle qualité mais je la trouve très fine et la partie dessus dessous recouvrant les fils chauffants est trop fine et pas cousu ensemble ;-( je doute sur le temps que la qualité résiste. Très belle couleur marron et matière toute douce.</t>
  </si>
  <si>
    <t>Catouches d'encre compatible Epson Les cartouches sont identiques à celles d'Epson, elles sont utilisables malgré que l'imprimante ne les reconnaisses pas . Des astuces pour contourner le blocage voulu par d'Epson sont  disponibles sur internet.   Après plusieurs semaines d'utilisation, elles donnent toutes satisfactions. C'est parfait car le rapport qualité  prix est très atractif</t>
  </si>
  <si>
    <t>satisfait J'aime bien le style et le confort qu'elle me donne quand je marche en tout cas elle me plait bien</t>
  </si>
  <si>
    <t>Pratique mais reste cher Petite brosse qui s'aimante correctement sur un tableau (attention l'attraction est faible) et efface niquel. Dommage que le prix soit un peu élevé (9€ sans livraison), malgré tout la qualité est là, je recommande tout de même.</t>
  </si>
  <si>
    <t>Parfait Marche très bien</t>
  </si>
  <si>
    <t>Jolie Très jolie on se sent bien dedans</t>
  </si>
  <si>
    <t>Egal a la description Ras</t>
  </si>
  <si>
    <t>Parfait Bloqueur sobre et beau. Discret et parfait</t>
  </si>
  <si>
    <t>très grande taille parfait ! - couvre bien tout le dos - chaleur dure longtemps - parfait pour le bas du dos je recommande plutôt cette compresse de lin q'au coussin chauffants électriques</t>
  </si>
  <si>
    <t>supercontente de ce produit livre pour mes petits enfants, lecture adaptée pour un début de cp</t>
  </si>
  <si>
    <t>Top Super jolie.</t>
  </si>
  <si>
    <t>déchets journaliers très solides</t>
  </si>
  <si>
    <t>Top of the top Le top du top du top of the top du top du top. du top...of the top. En un mot, top!</t>
  </si>
  <si>
    <t>Géniale Correspond parfaitement à l'image et est très agréable à porter</t>
  </si>
  <si>
    <t>Leggings parfait ! Je cherchais des leggings pour l'hiver, mais je ne les voulais pas molletonné et bien je suis ravie. Ils sont épais mais juste ce qu'il faut pour le froid. La qualité pour moi est excellente. La large ceinture me plait énormément, niveau confort c'est le top. Si il y avait plus de couleurs, ça aurait été encore plus sympa. Ces leggings sont dans mes favoris.</t>
  </si>
  <si>
    <t>Parfaitement adaptées ! Les chaussures sont très biens. Portées tous les jours par mon fils elles ne sont pas déformées et ne se sont pas avachies. Le noir reste bien noir. Parfait.</t>
  </si>
  <si>
    <t>Excellent Excellent support pour ordinateur portable permettant un réglage très facile pour une meilleure utilisation de celui-ci et permet également d'attacher les câbles de connexion.</t>
  </si>
  <si>
    <t>Parfait très joli collier je suis ravie</t>
  </si>
  <si>
    <t>Bon rapport qualité prix. Pour le sport et la ville. Esthétique et de qualité.</t>
  </si>
  <si>
    <t>LAPASA LEGGING PRODUIT CORRESPONDANT A MES ATTENTES. JOLI LEGGIN  ADAPTE POUR LE SPORT.  TAILLE BIEN.  RAPIDITE DE LA LIVRAISON. JE SUIS CONTENTE DE MA COMMANDE.</t>
  </si>
  <si>
    <t>déçue la chaine n'est pas comme celle de la photo, elle est plus grise que argentée et ce n'est pas la meme maille, et le pendentif est joli mais ne vaut pas ce prix. je vais demander le retour. trop cher pour ce que c'est.</t>
  </si>
  <si>
    <t>Pétaradant, légêrement odorant, jaunâtre... Sur un dévidoir, il faut également acheter un casque de protection auditive car il fait autant de bruit que des pétards dans une rue de Chinatown le jour de l'an... assourdissant! Ce n'est pas une blague! Il a aussi une légère odeur, et est irrégulier et jaunâtre... pas sûr qu'à l'usage ça vaille le coup d'économiser quelques euros... Je lui préfère le rouleau Tesa transparent</t>
  </si>
  <si>
    <t>À éviter lessive dangereux Mes enfants et moi qui ont la peau irritée après avoir utilisé ces lessives !!!! des que je sort les linges avec mes mains. J'ai la peau qui pique et des boutons tout de suite. Je n'utilise que sur les vestes et manteaux maintenant pour les finir.</t>
  </si>
  <si>
    <t>Un peu déçue par la couleur. Bonne qualite Déçue par la couleur. Bonne qualite</t>
  </si>
  <si>
    <t>Impossible de la déplier seule La table est très stable et confortable mais n'a pas de barre pour la maintenir ouverte totalement. Du coup et vu le poids, des que je veux la redresser seule pour l'installer, elle se replie sur moi... Impossible de la mettre en place seule. Dommage mais bon j'en suis très contente tout de même</t>
  </si>
  <si>
    <t>T-shirt Levi's garçon Super... Qualité /prix... Taille un peu grand, mais bon....</t>
  </si>
  <si>
    <t>léger et beau Ça chauffe un peu grand je fais du 42 et j'arrive quand même à passer le pouce  au niveau du talon pour celui qui fait du 42 vaut mieux qu'il achète du 41</t>
  </si>
  <si>
    <t>Discret Juste comme je le voulais .</t>
  </si>
  <si>
    <t>Bon achat. Bonne qualité. Dimensions variées. Reçus dans les temps</t>
  </si>
  <si>
    <t>Et bien chantez maintenant! J'ai rien à dire franchement, c'est un super équipement qui premet de prendre des prises de son fantastique. Genial. Je recommande Facile de mise en place. Les nombreux réglages se font directement sur le micro. Ca facilite vraiment l'utilisation. Le support est solide, les plastiques de bonne facture.</t>
  </si>
  <si>
    <t>Interface USB Midi Simple, efficace, et fonctionne parfaitement, seul petit regret, la longueur du câble (déjà 2m) qui pourrait en faire un de plus.</t>
  </si>
  <si>
    <t>Superbe sac C’est un Très bel article,  excellente  finition,  très tendance, plein de poches, bien fermées, bandoulière doublée, grande capacité j’en suisvraiment content</t>
  </si>
  <si>
    <t>GENIALE DE SIMPLICITE Il y a l'essentiel : l'heure, la date, un chronomètre, un minuteur, une alarme, une deuxième heure. On peut faire sonner la montre ou la faire vibrer. Et les réglages sont enfantins. Les données sont très lisibles. Franchement pour le prix, il n'y a pas à hésiter</t>
  </si>
  <si>
    <t>TOP Toujours au top les tétines Nuk, mes filles adorent. En plus elles sont solides. Bien mieux que les tétines de la marque Tigex</t>
  </si>
  <si>
    <t>Parfait Parfait. Elles tiennent très bien. Il s'agit vraiment de chaussette sport. J'en suis tellement content que je viens d'en recommander 3 lot de 3. A recommander sans hésitation.</t>
  </si>
  <si>
    <t>Alimentation  Casio CTK-1500 Cette alimentation permet de se passer de piles sur le piano  Casio CTK-1500 .</t>
  </si>
  <si>
    <t>Produit conforme Produit conforme et livraison rapide.</t>
  </si>
  <si>
    <t>A recommander! Bravo! Je ne peux que recommander cet article qui répond à toutes mes attentes. J'avais regardé au préalable des comparatifs avec d'autres marques de crayons de couleurs présentés par deux youtubeuses qui mettaient en évidence la qualité des crayons Castle. J'avoue avoir été un peu inquiet vu le prix attractif. Et bien, oui, c'est vrai! les crayons Castle sont d'une qualité pratiquement équivalente aux Faber Castell et Caran d'Ache dont je dispose également, pour un prix tellement inférieur.  Le rapport qualité/prix est simplement exceptionnel. J'adore l'odeur une fois la boite ouverte. Et puis disposer de 120 couleurs c'est un pur bonheur me concernant. La boite a été livrée rapidement et en parfait état. J'ai découvert que les crayons étaient garantis à vie ce qui est rassurant. La texture de la mine est très agréable et très couvrante. Félicitations aux dirigeants de cette marque.</t>
  </si>
  <si>
    <t>Nickelle...superbes J'adore. Elles sont trop belles. Seul bémol elles taillent grand. Je chausse du 41 et elles sont un chouille trop grandes mais vraiment belles. Frotte un peu au niveau de tendon le premier jour mais le second jour, ça allait mieux. Je recommande</t>
  </si>
  <si>
    <t>Nice shoes Très confortable, stylé, couleur jolie et sympa. Chaussures grandes, il faut prendre une taille au dessous de la pointure habituelle</t>
  </si>
  <si>
    <t>Super Elle sont super je pas déçu jadore merci je vous les recommande très belle qualité et de marque à petit prix</t>
  </si>
  <si>
    <t>Diffuseur d'huiles essentielles &lt;div id="video-block-RW1M597FSFFKR" class="a-section a-spacing-small a-spacing-top-mini video-block"&gt;&lt;/div&gt;&lt;input type="hidden" name="" value="https://images-eu.ssl-images-amazon.com/images/I/A1P6AOb5ULS.mp4" class="video-url"&gt;&lt;input type="hidden" name="" value="https://images-eu.ssl-images-amazon.com/images/I/71-A0lB0bBS.png" class="video-slate-img-url"&gt;&amp;nbsp;Acheté pour remplacer un en forme de goûte d'eau très connu mais qui a force à son petit réservoir qu'on arrive plus à nettoyer à cause de sa matière Celui ci a un très grand réservoir, programmable pour 1h, 3h et 6h et son anneau lumineux fait un très bel effet Il y a une belle brume qui sort quand il est en marche et on sent très vite l'arôme de l'huile qui a été mise en place La couleur va très bien avec notre meuble TV :)</t>
  </si>
  <si>
    <t>Superbe montre classique à écran LCD Très bien cette montre de qualité Casio, performant et surtout facile d'emploi, bracelet et monture  ok, rien à redire !</t>
  </si>
  <si>
    <t>Mauvais traitement de la commande et qualité médiocre Je ne recommande pas cet achat; commandé en 41-42, reçu 39-40, lanière sur une tong qui s’est décrochée dû à un problème de fabrication, plastique de mauvaise qualité.</t>
  </si>
  <si>
    <t>Déçue déçue déçue Fin ! nul, à ne pas acheter. Tissu ultra fin. Il n'y a pas de petit coussinets. Je suis très déçue</t>
  </si>
  <si>
    <t>sert de veilleuse et se veut aussi un instrument de travail, mais tout ça fait chinois .... J'ai déjà acheté par le passé, un globe terrestre un peu plus grand, mais avec le temps, les guerres, les contours des nouveaux pays et de leurs dénominations ... un globe, ça évolue comme tout. Là, arrivé dans une belle boîte avec un regard d'enfant qui semble émerveillé, j'ai donc ouvert pour trouver un contenu déjà monté, avec sa prise et son ampoule LED de rechange. Au premier abord, j'ai trouvé que la réunion à l'équateur des deux parties du globe était grossière comme si les deux parties étaient mal emboitées. Le reste m'a semblé d'une construction style chinois pas cher, vendu malgré tout presque 34 euros et lorsque je l'ai allumé, j'ai trouvé l'éclairage un peu "faiblard". Certes, on peut s'en servir comme veilleuse dans une chambre d'enfant, mais deux niveaux d'éclairage, un comme veilleuse et l'autre plus fort, pour travailler sur le globe la nuit, m'aurait paru plus adapté. La petite lumière verte permet de retrouver l'interrupteur facilement. Globalement, je suis un peu déçu par ce produit qui fait "very cheap !"  Note globale : 6.5/10 - à la rigueur ....  J'aime beaucoup les cartes, les globes . J'en avais un , plus grand pour mes enfants, trop grand, maintenant, je l'ai donné. Celui-ci de 21 cm est parfait et surtout, il est magique : Globe terrestre le jour , qui me fait voyager et la nuit 88 constellations avec un joli ciel bleu, il sert de veilleuse toute douce dans une chambre , les dessins et les noms sont, malgré cette douce lumière, très lisibles. Le bouton poussoir a un petit point vert lumineux, ainsi facilement trouvé dans le noir. Les capitales et les pays sont écrits de façon très lisibles certains, très petits avec un nom long ne sont pas écrits en entier. J'ai certains de mes petits -enfants qui voyagent beaucoup, en ce moment dans un très petit pays africain : le Togo. je pourrais passer de longs moments à rêver devant un globe. Je suis satisfaite de ce globe Buki, 40 euros. un cadeau pour tout âge ; ) J'ai beaucoup de jeux Buki, scientifiques, souvent, toujours très intéressants avec des livrets explicatifs. Je n'ai jamais été déçue. Il est accompagné d'un livret de quelques pages , une par continent en montrant certaines capitales avec le drapeau et une photo. Globe monté diamètre 21 cm sur armature métal (laiton). Fonctionne sur secteur et livré avec adaptateur secteur USB. Notice illustrée</t>
  </si>
  <si>
    <t>Correcte Le produit est correct, ça reste de l'entrée de gamme peu cher. Toutefois, bien que le bras soit pas trop faible, les articulations au niveau du coude du micro et de la base prenne vite du jeu / se desserrent. Il se peu que la durée de vie soit limitée si vous le manipulez régulièrement.</t>
  </si>
  <si>
    <t>chaussettes c'est deja la quatrième pair que j'achéte et ma fille adore ce produit assez résistant et se nettoie tres facilement</t>
  </si>
  <si>
    <t>Rtt Conforme à la photo. Le bracelet marron d'étain au contact d'un peu d'eau.Envoi rapide.</t>
  </si>
  <si>
    <t>super style première paire de new balance et cette première impression et un grand " oui " le jaune / orangé est magnifiquement original. :)</t>
  </si>
  <si>
    <t>Parfait Parfait ! En accord avec la photo . Ces ronds de serviettes sont pratiqués et peu onéreux . Il ne reste plus qu' à écrire les prénoms.</t>
  </si>
  <si>
    <t>Excellente bouilloire à contrôle de température Excellente bouilloire à contrôle de température. Esthétique et facile à utiliser. Rien à redire</t>
  </si>
  <si>
    <t>classiques et modernes à la fois j'ai acheté ces boucles d'oreilles pour les porter au quotidien et elles sont parfaites. De bonne longueur, elles vont avec n'importe quel style en étant à la fois modernes et classiques. Je les ai adoptées! Fines tout en étant robustes, rien à redire!</t>
  </si>
  <si>
    <t>Super collier Très beau collier cependant la chaîne est un peu fragile mais comme tout bijoux.. je recommande ll est identique à la description.</t>
  </si>
  <si>
    <t>Solide et élégante Je cherchais une sacoche à offrir à mon mari, pas trop grande, élégante et pratique. J'ai trouvé avec cette sacoche tout ce que je recherchais. Tout est identique à la photo.</t>
  </si>
  <si>
    <t>RAS mon mari a bien aimé</t>
  </si>
  <si>
    <t>Bonne qualité pour le prix la perche est bien un peut cheap mais on se plaint pas pour le prix si peut élevé le micro est de bonne qualité</t>
  </si>
  <si>
    <t>Evao Produit correspondant au descriptif,livraison rapide.</t>
  </si>
  <si>
    <t>Confortable Agréable</t>
  </si>
  <si>
    <t>Paire de Converse authentiques Correspond à la qualité attendue, celle de vraies Converses neuves. Produit reçu dans les temps.  Très satisfait de mes chaussures. La pointure correspond parfaitement.</t>
  </si>
  <si>
    <t>Très bien Très bien je la recommande</t>
  </si>
  <si>
    <t>Découverte au top ! Un produit étonnant que je voulais testé et vraiment pas déçu, certe c’est pas un objet indispensable mais j’ai vu une différence après son utilisation ! Mon cuir chevelu est plus propre, plus de petites peaux et mes cheveux regraisse un «&amp;nbsp;petit&amp;nbsp;» peu moin vite à voir sur le long terme.</t>
  </si>
  <si>
    <t>Bon achat Très beaux biberons, le dessin ne s'efface pas au fur et à mesure des lavages. Casier de rangement pour 6 biberons de taille standard.</t>
  </si>
  <si>
    <t>Lacets Très bien</t>
  </si>
  <si>
    <t>Pas mal Plutôt sympa au regard du coût, cette montre est plutôt bien finie et fera illusion auprès du plus grand nombre !</t>
  </si>
  <si>
    <t>UN BASIC J'adore ses converses, je les mets très souvent. Elles passent partout, avec n'importe quelle tenue.</t>
  </si>
  <si>
    <t>A éviter car sav pas compétant. Acheter pour chauff le biberon. 1er a été tomber en panne 1 semaine après. Contacter sav, la fille a été sympa puis me remplacer contre une nouvelle appareil(mais frais de envoyer à mon charge). Puis 11 mois après la 2eme appareil est mtn encore tomber en panne. Donc je contacte le sav, cette fois ci pas d'échange ( encore sous garantie). Elle m'a proposer une autre apppareil Tigex.... en me disant c'est déjà cette remplacement est une titre exceptionnel pour moi???  Je l'accepte car j'ai besoin en "urgent". Bref, très déçu.</t>
  </si>
  <si>
    <t>micro utilisé en karaoké  le son gresille  ces micros sont juste de s jouets</t>
  </si>
  <si>
    <t>Arnaque! Je n'ai reçu au final que l'encre noir au lieu des 4 couleurs annoncées. Cela fait très cher pour une seul couleur!!!</t>
  </si>
  <si>
    <t>EST CE BIEN UTILE ? Bof , une certaine bonne odeur qui part vite</t>
  </si>
  <si>
    <t>Bien Bonjour, je trouve la languette pas assez large,  ne couvrant pas bien après avoir lace les chaussures, sinon bien le reste.</t>
  </si>
  <si>
    <t>Bon achat malgré un vrai problème de connection Bluetooth Casque très confortable,  je l'ai porté pendant plusieurs heures sans inconfort.  Il est vrai que le Bluetooth est complètement délirant et que des que je m'éloigne de mon portable le son coupe.  Mais j'avais lu les commentaires et étant donné que ' Mon utilisation est sédentaires, assise au bureau ou dans le train, cela ne m'embête pas plus que cela.  Il est beau, confort, batterie très longue durée. Pour moi, ça vaut le prix amplement.</t>
  </si>
  <si>
    <t>Micro de qualité convenable pour un prix très correct. Enregistrement voix podcast</t>
  </si>
  <si>
    <t>L’incontournable des ados Bon rapport qualité prix</t>
  </si>
  <si>
    <t>Super Je suis un véritable fan de la marque. La qualité de finition est toujours au rendez vous j'ai l'impression d'être en chausson toute la journée. La doublure est très efficace pour garder les pieds au chaud sans pour autant transpiré.</t>
  </si>
  <si>
    <t>pour un jeune enfant ça brille c'est joli pour une enfant de 5 ans</t>
  </si>
  <si>
    <t>Biberon Très bien mais manque des tetines taille 2 il faudra en acheter vers ses 2 mois</t>
  </si>
  <si>
    <t>Good! J apprecie ce sac les dimensions, ni trop petit ni trop large et grand, solide le côté vintage conforme à la photo.</t>
  </si>
  <si>
    <t>Tapis parfait Tapis très ergonome et surtout très agréable pour le gaming, je recommande cette article qui est de très bonne qualite pour sont petit prix ...  Vous pouvez l'acheter les yeux fermer !</t>
  </si>
  <si>
    <t>Joli bracelet Très joli bracelet et conforme à la photo, idéal en cadeau ou pour soi  meme, très bel effet, et orignal</t>
  </si>
  <si>
    <t>Parfaite montre J’adore ma montre Offerte par mon conjoint , je n’en m’en lasse pas Et elle est arrivée très rapidement Je ne pourrais plus me passer de mon abonnement prime</t>
  </si>
  <si>
    <t>Génial ! Des baskets toutes neuves ! Fonctionne à merveille</t>
  </si>
  <si>
    <t>Très bien Très bien malgré quelques petits défauts ca et la..</t>
  </si>
  <si>
    <t>Améliore rééllement le goût du café Réception rapide du produit - très bon produit - le café est vraiment amélioré - nuancé - je recommande - dommage que le paquet soit arrivé ouvert ! l'emballage est trop mince à mon avis.</t>
  </si>
  <si>
    <t>Pack de 2 cartouches noir et couleur pour HP J ai eu besoin de nouvelles cartouches en urgence pour mon imprimante HP . Grave ça AMAZON et la rapidité de livraison, J ai pu recharger cette imprimante pour un usage quotidien ..a un prix très raisonnable !</t>
  </si>
  <si>
    <t>Longues manches, bien taillée, agréable à porter. En effet les manches sont longues mais j'ai de longs bras : pour un fois je peux avoir les poignets au chaud ! Joli couleur, très confortable, monte bien sur le cou et descend bien sur les reins, avec une forme cintrée qui empeche de ressembler à un sac. Pas très épaisse mais tres bon rapport épaisseur / chaleur. Un seul bemol, pas de zip aux poches.</t>
  </si>
  <si>
    <t>parfait ! Ayant marre de me coucher dans un lit froid, j'ai investi dans ce chauffe lit. Je l'allume 1h avant d'aller dormir, au niveau 3, avec la couette relevée afin de garder au mieux la chaleur, et je peux enfin me coucher dans un lit bien chaud (environ 35° sur le matelas). De ce fait, je n'allume même plus le radiateur de la chambre, ce qui me fait économiser 1000W heure, avec seulement 120W de consommation pour 1h  pour le chauffe lit.</t>
  </si>
  <si>
    <t>Haut parleur &lt;div id="video-block-ROG8NH0AAYMXI" class="a-section a-spacing-small a-spacing-top-mini video-block"&gt;&lt;/div&gt;&lt;input type="hidden" name="" value="https://images-eu.ssl-images-amazon.com/images/I/A1FLplIF+OS.mp4" class="video-url"&gt;&lt;input type="hidden" name="" value="https://images-eu.ssl-images-amazon.com/images/I/61f+b8pNe7S.png" class="video-slate-img-url"&gt;&amp;nbsp;J’ai acheté ce haut parleur pour mon anniversaire. Il est puissant, ce que je recherchais. Tout le monde à été satisfais de la fête. Nous avons fais un karaoké puisque il y a deux micro intégré. Les micro s’allument vite, il y a un bouton juste en bas du micro et les micro s’allument.  Il y a deux prises compris dedans.</t>
  </si>
  <si>
    <t>Extra TRES  bien</t>
  </si>
  <si>
    <t>Parfait De très bonne qualité après 10mois d'utilisation. Rien a y redire. Les couleurs sont tout à fait celles qui sont présentées en photo. A noter que ce goupillon ainsi que le mini ne passent pas au stérilisateur pour micro onde!! La tige est en fer, mais pas forcément rédhibitoire pour cet achat. Je le recommande</t>
  </si>
  <si>
    <t>Son pas si mal, le reste... catastrophique Pour le prix c'est ok. La plastique est très cheap et peu confortable mais ça passe pour moins d'une heure. le son est surprenant pour le prix, un peu mou sur les moyennes fréquence mais globalement correct.  Parlons de ce qui pose problème : - le casque ne se reconnecte pas tout seul au bluetooth de mon mac, je dois faire la manip manuellement à chaque fois, sur iPhone c'est ok par contre - à chaque connexion bluetooth (mac ou iPhone) une voix énonce "your bluetooth device os connectes successfully" marrant au début, pénible à la longue car on ne peut pas moduler son niveau sonore donc tout le monde sait que vous branchez votre casque - idem, quand la batterie est faible, la même voie vous HURLE dans les oreilles qu'elle est faible et qu'il faut la changer, toutes les 5 secondes - durée de vie de la batterie : 1 heure, peut-être 45 minutes max - impossible d'utiliser ce casque pour marcher ou courir, les pièces bougent et produisent des clics très audibles à chaque pas</t>
  </si>
  <si>
    <t>mauvaise qualité,  déçu je suis très déçu pare cette article, la batterie ne tien absolument pas la charge; livre sans la clef USB bluetooth ( il faut le savoir avent d'acheter. je renvoie après plusieurs tentatives et vraiment je ne le conseille pas</t>
  </si>
  <si>
    <t>Pointe de lecture Ne convient pas sur platine Philips FP320/00G. Déçue par cet achat car ne correspond pas à mes attentes. Rien à redire sur produit et livraison rapide</t>
  </si>
  <si>
    <t>Appareil d'appoint Ce chauffe biberon est utilisé occasionnellement chez mamie, et pour cet usage il fait parfaitement l' affaire. En revanche, si son utilisation devait être quotidienne, je ne le recommanderai pas. D'une part, la quantité d'eau utile à rendre le biberon suffisamment chaud, ne correspond pas à la quantité indiquée sur le doseur. C'est un détail, une fois qu'on le sait... D'autre part, il est impossible d'éteindre l' appareil avec son bouton pendant la chauffe, il faut simplement le débrancher (  détail qui a son importance lorsqu'on a pas encore réussi à déterminer la quantité d'eau à introduire pour un avoir biberon à bonne température). En résumé, le temps de chauffe est du coup plus long que prévu, et Dieu sait que les minutes peuvent être interminables lorsqu'un bébé a faim !!!</t>
  </si>
  <si>
    <t>Bon casque mais... Un peu déçu par le rapport qualité/prix, le son est bien défini, mais manque un peu d'aigus. Fonction anti-bruit efficace. Avec le logiciel on aimerait pouvoir avoir une configuration  du casque plus riche, définition des boutons, égaliseur, possibilité d'entendre l'extérieur sans enlever le casque. Possibilité de régler l'antibruit plus finement. Gros défaut, autour du cou les HP se mettent a plat, mais hp vers l'extérieur, ouverts à la poussière.</t>
  </si>
  <si>
    <t>Très bien ! Bonne qualité de produit , chaussettes sympas ! Envoi rapide, les couleurs sont variées bien contente de mon achat !  Merci</t>
  </si>
  <si>
    <t>Top ! Bouilloire qualitative, très belle &amp;amp; design avec double coque qui permet de ne pas se bruler. elle est également silencieuse et très facile à utiliser comme à nettoyer...En magasin physique elle serait vendue sans doute 20 à 25 € plus chère si j'encrois mes visites chez les grandes  enseignes , de plus le service après-vente est à l'écoute et très réactif pour répondre au mieux aux attentes...</t>
  </si>
  <si>
    <t>Nickel Pour ampli guitare</t>
  </si>
  <si>
    <t>Excellent received it so fast , works perfect and i'm really happy with it ! what more do you want ?</t>
  </si>
  <si>
    <t>Collier Très beau collier. Pas du tout déçu de mon achat. Fine chaîne avec beaucoup d'effet. Je la recommande à tous.</t>
  </si>
  <si>
    <t>Vraiment parfait Cet accessoire est parfait pour déposer sont smartphone sans encombrer la vue de l’écran. La puissance de l'aimant est très bonne et le portable tiens bien (j’ai un téléphone de 155 grammes).  Seul point négatif mais dont on est au courant : le pack ne comprends qu'un seul récepteur d'aimantation a collé sur le téléphone, et donc si l'on change de téléphone on doit racheter un pack complet.</t>
  </si>
  <si>
    <t>J ai reçue mon colis Je l ai pour une amie</t>
  </si>
  <si>
    <t>Bien Satisfait</t>
  </si>
  <si>
    <t>Super Très bon produit. Je suis très content.</t>
  </si>
  <si>
    <t>Tres bien correspond à mes attentes Collage</t>
  </si>
  <si>
    <t>Conforme à la description! Livraison très rapide!</t>
  </si>
  <si>
    <t>Produit novateur Pratique pour donner ses 1er fruits en morceaux  à un nourrisson. Pratique et ludique.</t>
  </si>
  <si>
    <t>Sac de bonne qualité, pratique, et très bon style Sac impeccable pour mon ordinateur</t>
  </si>
  <si>
    <t>Parfait Très bien, très jolies et confortables</t>
  </si>
  <si>
    <t>Lampe de bureau ideal J'adore, je trouve le design doux,elle se fond dans la deco,la luminosité soit blanche soit jaune offre plusieurs intensités, facile a plier,ideal pour moi qui l utilise pour le bureau</t>
  </si>
  <si>
    <t>Colis soigneusement emballé Je les utilise principalement pour des appels et je les trouve satisfaisants. Très bon emballage, expédition rapide et un joli petit sac comme un conteneur. Marre des écouteurs Bluetooth qui capte mal à un certain endroit ou décharger en plein route. Ces écouteurs ont un bon système d'isolation, avec une pochette offerte pour les ranger et un bon design. La suppression du bruit fonctionne bien, tout comme le micro. Ils ne s'emmêlent pas et semblent résilients.</t>
  </si>
  <si>
    <t>Jolies Très mignonne je pense qu'elles ne feront qu'un été mais elles sont vraiment jolies avec leur reflet nacré</t>
  </si>
  <si>
    <t>Parfait Très bon son et très bonne isolation pour la personne qui écoute (qui n'entend pas la pollution sonore externe) et pour ceux autour de la personne qui écoute (pas de fuite du son depuis les écouteurs)</t>
  </si>
  <si>
    <t>Bof Chaussettes de moyenne qualité qui taillent vraiment trop grandes. Je ne recommande pas. Mon fils ne peut même pas les mettre</t>
  </si>
  <si>
    <t>Legging Transparent et taille trop petite le lettring ce décolle vraiment déçu</t>
  </si>
  <si>
    <t>Probleme je suis fan des biberons mam mais cette fois ci il y a un problème avec la bague qui doit retenir le bouchon il y a du jeu et du coup le biberon même fermé n'est pas étanche s'il n'est pas en position debout j'ai du récupéré les anciennes bagues dans la poubelle !!! de plus j'en ai pris 3 identiques qui présentent tous le même problème...</t>
  </si>
  <si>
    <t>Montre qualitative, mais... Montre qualitative, j'ai été surpris  de la recevoir en bleu au lieu de noir. La notice en francais est absente et incomplète. Dommage que Lige ne corrige pas ces aléas.</t>
  </si>
  <si>
    <t>Ultra confortable Bonjour, J'ai acheté ce casque à conduction osseuse, car j'étais très curieux d'entendre ce que ça donnait. J'ai particulièrement apprécié le confort d'utilisation, il est très léger et vu qu'il n'est pas sur les oreilles ça ne provoque aucune gêne. J'ai aussi beaucoup aimé le fait de ne pas être coupé du monde en écoutant de la musique.  La qualité du son et quant à elle un peu en retrait. Le placement des "transducteurs" et très important et change complètement le rendu si vous ne portez pas le casque correctement. Le placement idéal se situe juste devant le tragus, comme sur l'image de présentation. Sans les bouchons d'oreille, il y a très peu de basses, avec elles sont plus présentes, mais le son est un peu caverneux. Je suis un peu tatillon avec la qualité du son, mais clairement le son n'est pas mauvais. Pour moi, l'utilisation idéale sera pour les vidéos et ou les conversations, pour la musique pendant le sport ou le confort et le fait de ne pas être coupé de monde est un vrai plus.  Ce commentaire vous a été utile ? Faites-le-moi savoir en cliquant sur UTILE !</t>
  </si>
  <si>
    <t>Très mignon pour couple Super beau j’adore , les bracelets sont un peu grand du coup vue qu’il y a du fil vendu avec , je les Moi même retoucher j’ai retirer 4 perles je crois ou 5 pour qu’ils sont à ma taille car petit poignée</t>
  </si>
  <si>
    <t>Excellent produit Excellent produit qui répond totalement à mes attentes. Très confortable, agréable à porter. Je n’ai pas constaté pour lors de défaut particulier.</t>
  </si>
  <si>
    <t>Parfait ou presque ! Ce casque bluetooth est génial et je vous le conseille vivement. Seul petit détail : pour changer de musique ou autre on doit retourner sur le téléphone ce qui est dommage Mais sinon il est assez résistant et s'adapte très bien aux différentes tête,  et à une portée de 80m environ !</t>
  </si>
  <si>
    <t>fait ce qu on lui demande j avais acheté le chauffe biberon badabulle qui a grillé au bout de quelques utilisations J ai donc opté pour un modèle basic et avec thermostat Me permet d allaiter et de faire chauffer le complément pendant ce temps Garde à temperature utilisable en voiture si on a le matériel nécessaire pour mettre prise sur allume cigare car seulement 80w Attention vendu sans cordon allume cigare alimentation par prise qui ne se détache pas bouton off</t>
  </si>
  <si>
    <t>String Enfin du coton oufff</t>
  </si>
  <si>
    <t>Chaussures de sécurité Très belle chaussure pour le travail! C'est ma deuxième paire j'en suis très content!</t>
  </si>
  <si>
    <t>Casio de choc Vraiment pas déçu, conforme au descriptif. J'avais besoin d'une seconde montre pour la caserne (une autre G SHOCK) et j'avais choisi dans les reconditionnés sans emballage d'origine Hors quelle agréable surprise, un modèle totalement neuf dans un emballage d'origine Toujours pas déçu de mes choix en reconditionné, on peut faire confiance à AMAZON Le produit quand à lui est parfait, j'étais aller voir sur YOU TUBE pour compléter son descriptif, bien sur quelques réglages ne sont pas intuitifs mais bon, une G SHOCK à moins de 50€  quand ce modèle va jusqu'à 130 en commerce, il faudrait être vraiment difficile. Je recommande sans restriction.</t>
  </si>
  <si>
    <t>Bonne qualitée Je les utilises pour peindre des fleurs pour le moment. Ils ont une bonne précision du fait que les poiles ne ce sépare pas. La forme du manche est pratique pour une bonne prise en main. Pour le moment je n'est pas trouvée de défaut. Je suis contente de mon achat</t>
  </si>
  <si>
    <t>Parfait Produit conforme au descriptif, reçu 1 jour avant la date estimé, au top !</t>
  </si>
  <si>
    <t>Bon Je l’ai acheté pour mon usage personnel. Le délai d’attente pour la livraison express n’est pas long. Le produit est bien emballé et neuf. D’ai il n’ya pas de problème de qualité après l’essai. Si un ami me le demande, je lui recommanderais de l’acheter. En bref, je fais des éloges.</t>
  </si>
  <si>
    <t>produit bien fini et rapport qualité prix intéressant bas de survetemt et short pour le sport</t>
  </si>
  <si>
    <t>Bon rapport qualité prix Très produits conformes. Le rapport qualité prix pour des cartouches d’origine est excellent.</t>
  </si>
  <si>
    <t>très bon produit Contente de mon achat, je ne m'en suis pas encore trop servi mais le peu que je l'ai utilisé, j'en suis satisfaite .Super pour emmener en voyage.</t>
  </si>
  <si>
    <t>Utile. Utile pour smartphone.</t>
  </si>
  <si>
    <t>That shoes Je les ai commandés y a longtemps maintenant c’est de superbes baskets elles sont hyper cute et c’est pas chère quoi demander de plus ? Achetez le.</t>
  </si>
  <si>
    <t>Beau bracelet Très joli bracelet. Belles pierres. Conforme à la photo. Reçu très rapidement 👍</t>
  </si>
  <si>
    <t>Service client très réactif ! EDIT 2 : Second produit reçu très rapidement, SAV vraiment très efficace et arrangent. Aucun problème sur le deuxième produit. Je remet les 5 étoiles ! J'ai acheté cette lampe de bureau suite à de nombreuse recommandation sur internet et les bons avis qu'elle a reçu. Malgré la pertinence du produit et sa bonne utilité (tactile agréable, gestion des couleur bien pensée, etc.) je suis extrêmement déçu par la finition... En effet, je me suis rendu compte dès la première utilisation qu'il y avait un gros décalage une fois la lampe pliée sur elle-même, a tel point qu'elle n'est pas droite du tout ! J'ai pris des photos pour que ce soit plus parlant... Peut-être c'est juste le défaut d'une série et que j'ai pas eu de chance... EDIT 1 : Le SAV de la marque m'a proposé de me renvoyer un produit gratuitement, ce que j'ai accepté. SAV très réactif, je modifierai ma notation lorsque je l'aurai reçu.</t>
  </si>
  <si>
    <t>Super qualité Beau et bien fini</t>
  </si>
  <si>
    <t>Pas terrible Joli, pratique avec ses nombreuses poches,  et il parait plutôt solide. ...exceptées les fermeture. Celle d'une des 3 poches principales a rendu l'âme au bout d'un mois et je soupçonnes les autres de ne pas faire long feu...</t>
  </si>
  <si>
    <t>Vulgaire contrefaçon Vulgaire contrefaçon. Pas d infrarouge, manque une tete. Massage inefficace juste des vibrations. Je demande un remboursement au plus vite !</t>
  </si>
  <si>
    <t>Ne pas choisir ce modèle Le variateur de température a commencé à se détraquer dès les premiers jours d'utilisation. Je ne recommande pas ce produit qui n'est pas de bonne qualité.</t>
  </si>
  <si>
    <t>La matière n'est pas agréable a porter surtout pour le sport(ça démange) sport</t>
  </si>
  <si>
    <t>Jolis mais C'est vrai, c'est de très beau marqueurs, de très belles couleurs et ils fonctionnent très bien, seulement j'ai peint un tableau avec une peinture ardoise et aimantée et les marqueurs ne s'effacent pas du tout dessus, même avec de l'eau. J'ai du repasser une couche de peinture.</t>
  </si>
  <si>
    <t>Jeu stylo chrono Jeu très sympa ! Des bons moments en famille. Jeu ludique pour les enfants et partie de fou rire assurée!</t>
  </si>
  <si>
    <t>TRES SATISFAITE Pas de problème pour le produit que je connais. Par contre la bonne surprise c'est que j'ai reçu 3 flacons pour le prix de 2 car j'ai bénéficié d'une offre. Livraison rapide. Rien à redire</t>
  </si>
  <si>
    <t>Belle montre Très belle montre, le boitier est digne d'une grande marque par contre le bracelet fait vraiment bas de gamme. Une barrette ressort du bracelet a lâchée le lendemain de l'achat.</t>
  </si>
  <si>
    <t>Je recommande Article vu sur testzon.com.  Livraison rapide et conforme à la description, emballage résistant.  Les cosses sont livrées dans une boîte en plastique qui semble solide.  Il y a plusieurs tailles qui permettent beaucoup de possibilités.  Après utilisation elles s'avèrent être de bonnes qualités,  je recommande.</t>
  </si>
  <si>
    <t>Casio comme d'habitude J'avais deja eu  deux montres Casio dans le passe et je les avais trouvees tres fiables et solides. Ma nouvelle montre est toujours aussi excellente, simple d'emploi et fiable. Le bonheur !</t>
  </si>
  <si>
    <t>Satisfait Reçus hier, utilisés aujourd'hui, j'en suis grandement satisfaite. Le son est parfait et cela me permet de me plonger dans les atmosphères pour écrire en toute quiétude. Rien à redire.</t>
  </si>
  <si>
    <t>Bien Ce calendrier de l'avent à beaucoup de succès pour une petite fille passionnée d'équitation. Chaque jour est apprécié pour sa nouvelle surprise.</t>
  </si>
  <si>
    <t>On aime On aime les biberons faciles à nettoyer</t>
  </si>
  <si>
    <t>Génial Vraiment super pour que ma fille ne dessine plus sur les poupées. Feutres marche bien belle couleur s efface très bien sous l eau ma fille adore.</t>
  </si>
  <si>
    <t>Exellente imprimante de prêt Le moin cher sur le marché</t>
  </si>
  <si>
    <t>Sacoche Un sac parfait en cuir la qualité est top un VRAI produit de qualité je suis ravie de mon achat C est tout à fait ce que je cherchais avec ses Nombreuses poches c est tout ce que je recherchais. Il est arrive en excellent état un produit emballé pour le protéger dans un sac en tissu blanc! La livraison très rapide et parfaite! Il est de couleur marron foncé j aime assez la couleur! JE vais pouvoir le transporter au boulot y mettre mon pc et toutes mes affaires! Je ne pouvais avoir mieux! Vous pouvez soit le garder à la main soit A l épaule c est parfait! Moi je le porte à la main une vraie sacoche ! Les fermetures S ouvrent parfaitement sans aucune gêne! Il est grand j avoue que C est très bien car on en prend toujours trop!</t>
  </si>
  <si>
    <t>WAOUHHHH que dire de cet arbre de vie à part WAOUHHHHH !!! il correspond à la description. porté, il est ravissant !!!</t>
  </si>
  <si>
    <t>SUPER BIBERONS TRIANGULAIRES Ce lot de biberons DODIE est vraiment bien et complet. Il contient 3 tailles différentes, de couleur ROSE. Bébé arrive à le tenir grâce à sa forme triangulaire. Je recommande : mes enfants ont toujours préféré leur biberon dodie tout simple aux autres marques (trop gros, trop lourds et trop ronds) (et j’en ai essayé beaucoup)..  On ne pourra jamais empêcher bébé d’avaler un peu d’air en tétant son bibi, mais il en avale moins avec celui là.</t>
  </si>
  <si>
    <t>Très bien J’en ai reçu un rose! Dommage! En revanche la brosse est parfaite pour le nettoyage des biberons et la petit écouvillon caché dans le manche est de longueur idéal pour nettoyer les embouts de tétines et les petites valves des biberons Munchkin Latch. Fonctionne bien mieux que ma précédente brosse de même marque mais avec les poils en plastique qui ont cassé très vite</t>
  </si>
  <si>
    <t>Je recommande Super instructif je recommande . Mon neveu à adoré ce livre</t>
  </si>
  <si>
    <t>Parfait Je l’utilise lors de randonnée et de road trip en moto. J’ai personnellement retiré les mousses des bonnets par préférence et il est resté très confortable et maintient parfaitement ma poitrine (95B). Je les ai offert à  ma fille et à ma mère qui en sont très satisfaites aussi, même peut être plus, car elles l’utilisent  tout les jours et peuvent désormais sélectionner beaucoup plus de chemisiers souvent inadaptés à leurs poitrines (95D et 95E).</t>
  </si>
  <si>
    <t>Pas chèr pour la qualité J ai aimé ce produit très doux et confortable</t>
  </si>
  <si>
    <t>Léger et de bonne qualité du son Tout d’abord, mettez ces écouteurs dans une belle boîte pour les protéger. Le manuel est disponible en français et vous garantira que vous avez des doutes quant à son utilisation, mais en réalité, il est très facile à utiliser. Esthétiquement très élégant et discret, ergonomique, bien conservé. Les écouteurs ont une bonne autonomie, le contrôle par les boutons sur les écouteurs est efficace, et j’ai également testé les conversations téléphoniques, sans problème. La pleine charge est rapide et la durée de vie de la batterie peut atteindre plusieurs heures. Plusieurs pièces de rechange pour l’oreille dans la boîte peuvent offrir un confort optimal à de nombreuses personnes. Ils sont légers. L’entretien est parfait</t>
  </si>
  <si>
    <t>Chaudes mais douloureuses... Elles semblent bien chaudes avec le chausson amovible en laine. Par contre, le talon n'est pas maintenu (j'ai pourtant essayé deux pointures différentes) et cela frotte à la jonction des parties plastique et textile. Cette partie est vraiment grossièrement finie : il aurait peut être fallu coller une bande par dessus... Je n'ai pas eu l'occasion de les tester en situation réelle, j'ai eu trop peur d'avoir mal en marchant, je les ai donc renvoyées.</t>
  </si>
  <si>
    <t>Ne colle pas Incompréhensible, j'ai mis plus de 40 cm du produit pour faire tenir une lampe led (moins de 800 gr) - matériel : Plastique - carrelage. ça tenu pas plus de 10 minutes.... JE suis très déçu ! PUB mensongère</t>
  </si>
  <si>
    <t>image qui ne correspond pas au produit On s'attend à 4 paires de chaussettes . Or il n' y en a qu' une. Quelle déception !</t>
  </si>
  <si>
    <t>confortable semelle glissante</t>
  </si>
  <si>
    <t>Peinture Bonjour Je trouve ça beaucoup trop cher pour ce que c'est. Trop petit à mon goût.</t>
  </si>
  <si>
    <t>Pratique ! L'article correspond bien à la description et à la photo. Modèle classique de Palladium je n'ai pas été déçue. Livraison dans les temps.</t>
  </si>
  <si>
    <t>Jolies boucles, portables partout. Style classique.</t>
  </si>
  <si>
    <t>Meilleur rapport qualité prix à ma conaissance L'objet en lui même est imbattable en terme de prix, pour ce prix là vous ne trouverez pas meilleure perche pour micro.  Bien évidemment, a ce prix, on ne s'attends pas a une perche haut de gamme, mais la perche est relativement solide tout de même, bien plus solide que ce que j'imaginais par ailleurs. Comme vous pouvez le voir sur la photo, la perche tiens mon blue yéti sans aucun problème, alors que celui ci pèse son poids, donc aucun problème de ce coté là.</t>
  </si>
  <si>
    <t>pas mal !!! vu le prix, je m'attendais à un truc à peine moyen, juste de quoi faire le trajet maison-boulot, mais franchement, c'est plutôt une bonne surprise !!! y a sûrement mieux, certes, mais à ce prix là, c'est un bon rapport qualité/prix !  mis à jour : juste dommage qu'il n'y pas le contrôle du volume sur la telecommande du coup je lui enlève 1 étoile ! nah !</t>
  </si>
  <si>
    <t>Tip top Très contente, super produit, je suis entrain de l'essayer, je l'ai pris pour mes problèmes d épaules et règles douloureuses. Il chauffe bien, niveau 2 et 3, tellement contente que je compte en offrir à mes parents pour noël.</t>
  </si>
  <si>
    <t>Megaultra Tres bons ecouteurs ,je suis surpris</t>
  </si>
  <si>
    <t>bon patalon taille comme prévu. Exactement ce que voulait ma fille.</t>
  </si>
  <si>
    <t>Excellent produit pour les inflammations musculaires et après l’effort. Envois rapide; utilisation facile, produit pénétrant rapidement; produit utilisé pour inflammation musculaire moins efficace pour les déchirures musculaires.</t>
  </si>
  <si>
    <t>son mobilité</t>
  </si>
  <si>
    <t>parfait rien à redire. C'est parfait. les cartouches d'encre sont  pour 36 photos. En fait, la cartouche est une suite de 36 parties qui tourne à chaque photo. Donc pour chaque photo, une partie est utilisée. Il y a donc le nombre d'encre qu'il faut pour imprimer les 108 photos (3 cartouches).</t>
  </si>
  <si>
    <t>Top Bonne qualité, identique à photo</t>
  </si>
  <si>
    <t>Huile parfaite Super ! Livraison rapide petit message personnalise dans le petit colis L huile est tres agréable a appliquer,  son parfum est délicat et agréable Je recommande vraiment ce produit</t>
  </si>
  <si>
    <t>Excellent Tapis de souris de grande taille, semble solide, "accroche" bien au bureau sans "coller" on peut le déplacer facilement, la souris glisse bien, content de mon achat, à 3,99€ difficile de trouver mieux.</t>
  </si>
  <si>
    <t>Top Parfait très beau tee shirt taille bien</t>
  </si>
  <si>
    <t>J adopte! Très bien, j aime ce type de sous vetement qui s enfile par le haut et se ferme à la taille, très pratique pour le sport et de bonne qualité, je recommanderais</t>
  </si>
  <si>
    <t>Idéal pour se replonger dans la mythologie Livre intéressant car on peut lire un épisode chaque jour. Le résumé en début permet de remémorer les idées essentielles à chaque fois.</t>
  </si>
  <si>
    <t>Très bon rapport qualité prix Très jolie montre fonctionnelle avec deux affichages analogique/numérique. Très simple d’utilisation avec une finition de qualité. Je recommande ce produit</t>
  </si>
  <si>
    <t>Encore plus jolie en vrai Cadeau pour l'anniversaire de ma soeur, à fait son effet. J'ai pris le modèle en rose/bleu, et le bracelet est encore plus beau en vrai qu'en photo.</t>
  </si>
  <si>
    <t>Superbe qualité &lt;div id="video-block-R2N52ADD0U8TMM" class="a-section a-spacing-small a-spacing-top-mini video-block"&gt;&lt;/div&gt;&lt;input type="hidden" name="" value="https://images-eu.ssl-images-amazon.com/images/I/915Uen7xQHS.mp4" class="video-url"&gt;&lt;input type="hidden" name="" value="https://images-eu.ssl-images-amazon.com/images/I/81QYrLwwBhS.png" class="video-slate-img-url"&gt;&amp;nbsp;Superbe montre, la qualité est bluffante. Montre qui se recharge à la lumière, réglage de l'heure radio pilotée, chronomètre, date... Mais ce qui me plaît le plus c'est quand elle s'allume dans l'obscurité quand on la tourne vers soit. J'arrive pas à m'arrêter de jouer avec !</t>
  </si>
  <si>
    <t>Isotherme ? Le sac est très joli, pas très grand mais suffisamment pour contenir deux petits pots et un grand biberon. Par contre pour l'effet isotherme on repassera : petit pot mis dedans congelé, ressorti à température ambiante moins de 3h plus tard. La même chose que dans mon sac à langer, en somme... sans intérêt, donc.</t>
  </si>
  <si>
    <t>A eviter Il taille trop grand, il ne fait pas habiller. Jai pris du S on dirait du L. Pas cintrer manches trop large. Il n'est pas aussi beau que sur la photo. Très déçue</t>
  </si>
  <si>
    <t>Déçu Très déçu au bout de 2 mois la semelle c’est décollé</t>
  </si>
  <si>
    <t>Solide, jolie,MAIS pas pour le podomètre trop aleatoire Avis mitigé pour cette petite montre au demeurant très solide et très belle!! Évidemment c'est G-SHOCK En cela elle tient ses promesses... Cependant petit bémol quand a la fonction podomètre qui mérite a être revue...</t>
  </si>
  <si>
    <t>Fait son boulot ! Suffisant pour son utilité. Peut trouver moins cher ailleurs mais dépanne énormément. Je recommande</t>
  </si>
  <si>
    <t>Très bon produit Les + : casque est beau et il a l'air solide; le produit correspond à l'image. Envoi très rapide. Les - : les coussinets sont un peu dures et la réduction du bruit n'est pas totale. Pour l'usage non professionnel que j'en fais, ce casque est vraimement très bien</t>
  </si>
  <si>
    <t>Belle montre Acheté pour une amie lors de son anniversaire, le design est jolie mais je trouve la couleur or trop prononcée qui peut rendre le bijou un effet bas de gamme, dommage</t>
  </si>
  <si>
    <t>Taille grand J’aurais dû prendre un L plutot qu’un XL A part ça tout va bien</t>
  </si>
  <si>
    <t>TOP Les pailettes le top du top ,les taches les plus tenaces partent super bien ,respect pour le linge et nickel pour les torchon bien sale ,reçu rapidement je vais racheter ce produit</t>
  </si>
  <si>
    <t>étonnant produit (pour le prix) ma note est globale au vendeur, au produit, et au livreur (enfin la livreuse). Le délais de livraison a été plus que respecté. En lisant les commentaires avant l'achat, j'étais plutôt dans l'attente, mais dès les premières minutes ma femme et moi l'avons adopté sans problême. Moi j'aime quand c'est un peu rude, et le mouvement des boules ne me gêne pas. Ma femme utilise une serviette pliée pour atténuer un peu la dureté, bref, tous le monde s'y retrouve, et on fait l'économie de quelques séances de kiné.</t>
  </si>
  <si>
    <t>Tres bien Tres bien!</t>
  </si>
  <si>
    <t>Parfait Ce produit est vraiment parfait, et fait bien son travail, j'en suis très content.Filtre anti-pop basique qui réduit à néant les bruits pop, marche très bien avec bon attache pour acrocher à un bras articulé.</t>
  </si>
  <si>
    <t>pratique, esthétique, et facile d'utilisation PAS d'éclaboussures extérieures lorsque l'eau  est bouillante, grande capacité ( 1,7 l )</t>
  </si>
  <si>
    <t>Parfait je suis très satisfait de ma nouvelle montre, facile à utilisé et en plus on a même un mode d'emploi dans plusieurs langue très pratique pour pouvoir la régler.livrer dans un étui en plastique.</t>
  </si>
  <si>
    <t>Bel effet Rien à redire sur la qualité. Bel effet pour un prix très raisonnable</t>
  </si>
  <si>
    <t>Dans la gadou avec classe ! On a tous besoin un jour d'aller faire joujou dans notre jardin, patauger dans la gadou... Il en faut pour tout les gouts. Et bien avec ces bottes là, on se sent un peu moins cracra ! D'une qualité étonnante, résistante par tout temps, imperméable à la pluie et au karcher (et oui j'ai testé la pression sur le pied, on ne sent rien !) Un excellent produit, pour une marque habitué à la gomme et au caoutchouc !</t>
  </si>
  <si>
    <t>Ras Très bien</t>
  </si>
  <si>
    <t>Rapport qualité prix excellent ! Je recommande Très utile , absorbe les odeurs, l'humidité , dans n'importe quel lieu ! Super pratique et réutilisable</t>
  </si>
  <si>
    <t>Un must have! Casque parfait, arrivé en excellent état.  Bonne restitution des basses comme des aigus: un produit bien équilibré! Ce qui se fait de mieux dans cette gamme de prix. Le Design est sobre et la finition irréprochable. Je le recommande!</t>
  </si>
  <si>
    <t>Bon produit Satisfaite par le produit. Parfum très agréable. Paquet inouvrable pour les enfants</t>
  </si>
  <si>
    <t>Satisfaite Agréable</t>
  </si>
  <si>
    <t>MVPOWER Surmatelas Chauffant 150 x 80 cm,  conforme C.E MVPOWER Surmatelas Chauffant 150 x 80 cm, 3 Niveaux de Température, Protection Contre la Surchauffe, Pro article - conforme chaude facile à dormir et bonne santé quand-seul  . à bientôt</t>
  </si>
  <si>
    <t>Très belle montre! Montre du plus bel effet au poignet. Elle convient parfaitement pour un style habillé ou plus décontracté. A avoir dans sa collection de montre sans hésiter.</t>
  </si>
  <si>
    <t>N’ont que trois troues... Bonjour, J’avais déjà ces tétines vitesse 4 avec donc 4 troues. J’en ai racheté car certaines commençait à s’abîmer au bout de deux ans. Quel est ma surprise ce matin de voir en préparant le petit déjeuner de ma fille que les tétines pourtant notés vitesse 4 n’ont que trois troues ? Contrairement à mes anciennes qui en ont bien 4 ? Je suis vraiment mécontente de voir que l’on s’est bien moqué de moi ...</t>
  </si>
  <si>
    <t>Je ne recommande pas! J’ai acheté ces biberons en suivant tous les avis positifs, mais je suis tres deçue et ne recommande absolument pas!!!!!!!! 1) les biberons ne rentrent pas dans les micro-ondes classiques (biberons trop grands...) 2) en les chauffant avec un chauffe biberon classique, le plastique est brulant alors que l’eau à l’intérieur est froide... 3) ma fille a l’habitude de boire avec une tétine de vitesse 3, et avec les biberons mam, le débit est beaucoup trop rapide, elle s’est étranglée plusieurs fois, elle n’arrivait pas à suivre le débit alors il y avait du lait partout! Bref, passez votre chemin!</t>
  </si>
  <si>
    <t>pas cher donc on en a pour notre argent colis arrivé en retard il me fallait un sweat pas trop cher car ma fille voulait le customiser donc il fait l affaire . le tissu fait un peu bas de gamme mais pour le prix ça reste tres bien . la capuche est curieusement faite (au lieu d une seule morceaux de tissu  avec un ourlet  pour le passage du cordon , le tissu est plié en deux sans coulisse donc le cordon se balade entre les deux epaisseurs et ces deux epaisseurs ne se mettent pas un bien en place . le sweat taille petit mais c est indiqué donc j ai commandé une taille en plus et ça va juste .</t>
  </si>
  <si>
    <t>Garde de temps tout terrain Surpris qu' à la mise en service de la montre l'année 2010 est apparu ! Pas sûr que la pile dure 10 ans ? Attention pour les puristes pas de compte à rebours mais signalé dans le descriptif.  Réglages simplissime montre ultra légère, peut être bracelet fragile? Mais dans cette gamme Casio assez courant et pour le prix... Ce qui m'a plus embêté, l' alimentation.</t>
  </si>
  <si>
    <t>Bon Tres bien</t>
  </si>
  <si>
    <t>Pratique et conforme Aimé le pratique</t>
  </si>
  <si>
    <t>contre coup et douleurs huile de massage a l'arnica très connue mais c'est la meilleur et mois chère quand pharmacie .toujours en avoir a porter de main</t>
  </si>
  <si>
    <t>Bien Beau produit. Taille conforme.</t>
  </si>
  <si>
    <t>changez d'air ! je connaissais déjà. mieux que de l'encens pour ceux qui supportent mal la fumée de combustion, et parfum qui persiste longtemps. trés agreable et efficace............. j'adore.</t>
  </si>
  <si>
    <t>Chaussures Vraiment de bonnes chaussures, très légères et  discrètes, moi qui n'aime pas les chaussures tape à l’œil je suis content. Le rapport qualité/prix est excellent je trouve, à voir dans le temps.</t>
  </si>
  <si>
    <t>Ravie Cadeau pour ma mère, pas d’occasion particulière. Elle en est ravie et moi aussi</t>
  </si>
  <si>
    <t>Jérôme RAS</t>
  </si>
  <si>
    <t>Comment dire, ba c’est Des originaux Rien a ajouter, c’est des cartouches d’origine</t>
  </si>
  <si>
    <t>Très satisfaite J'avais déjà ses écouteurs et j'adore c'est d'origine que j'ai eu avec mon s8.  Je recommande.</t>
  </si>
  <si>
    <t>trés bon son Franchement,  le son est très bon, couplage rapide, contrôle efficace, charge de la batterie via le boîtier de stockage ou directement sur le casque à l’aide de l’adaptateur inclus. Grâce à un système efficace, le casque s'adapte parfaitement à l'oreille, même dans un environnement sportif. Je recommande ce produit a 200 pour cent</t>
  </si>
  <si>
    <t>très bien très jolie, confortable, elles chauffent un peu un fin de journée mais j'en suis content</t>
  </si>
  <si>
    <t>Élégant C'est un beau cadeau, mon compagnon l'a adoré.</t>
  </si>
  <si>
    <t>Parfaite pour le prix Parfaite, par contre taille legerement grand et un peu ample donc bien prendre sa taille si on est entre deux prendre en dessous.</t>
  </si>
  <si>
    <t>Très bien et pas cher Cadeau que ma fille a partagé avec sa copine d'école. Bien fini et résistant. Très jolie</t>
  </si>
  <si>
    <t>baskets très bien qualité prix bascket de bonne qualité et agréable a porter</t>
  </si>
  <si>
    <t>Parfait Excellent rapport qualité prix. Confortable (taille haute), facile d'entretien. Dès que je rentre à la maison, je le mets, je suis tellement à l'aise dedans! Je l'ai acheté déjà en 4 couleurs. Seul le violet n'est pas confortable, c'est une taille basse et est trop petit alors que je prends toujours la même taille.</t>
  </si>
  <si>
    <t>Super sac Produit très bon</t>
  </si>
  <si>
    <t>Peu solide très déçue, joli mais reçu avec plusieurs déformations malgré un emballage correcte</t>
  </si>
  <si>
    <t>Tétière de très mauvaise qualité Comfortable et epaisse. Bonne table à première vue. Par contre la qualité de la tétière est inadmissible. Un de mes clients s'est fait mal aux cervicales à cause de ce système de serrage très faible.</t>
  </si>
  <si>
    <t>Décu.. Trop petit! Pas évident a nettoyer si par malheur du fromage dépasse sur les cotés. Et des le premier soir d’utilisation, il est tombé en panne!</t>
  </si>
  <si>
    <t>Un peu gadget... A voir dans la durée mais je suis pour le moment déçu car le produit se trouve en difficulté pour rapidement mélanger un biberon de lait épaissi.</t>
  </si>
  <si>
    <t>DIFFICUTES DE CALAGE je "galère" un peu pour le calage de l’altimètre et baromètre, par manque d'instructions précises dans la notice , qu'il faut trouver en français !</t>
  </si>
  <si>
    <t>Aspire bien Pour la voiture il est très bien</t>
  </si>
  <si>
    <t>très bon achat pour avoir essayer des dizaines de paires de chaussures de travail, celles ci sont très confortable, la marche est agréable, et on l'air de très bonne qualité. seul point pour lequel je n'ai pas mis 5 étoiles c'est que je les trouvent un peu lourdes.</t>
  </si>
  <si>
    <t>Conforme Produit en relation avec son prix</t>
  </si>
  <si>
    <t>Joli et pratique Très joli sac que j'utilise chaque jour pour transporter mes affaires de travail, les coutures autour de la petite pochette externe zippée se sont très rapidement défaites alors j'ai réparé moi même..</t>
  </si>
  <si>
    <t>Très satisfaite !! Les huiles sont arrivées dans un très beau coffret. Je met les huiles essentielles dans mon diffuseur et ça sent super bon! Odeur agréable et pas entêtante. je recommande.</t>
  </si>
  <si>
    <t>Bon produit agreable a porter Tres bon produit . Qualité tres bien .confort tres bien. Et taille juste.</t>
  </si>
  <si>
    <t>Très doux, grand, léger et chaud Utiliser par ma petite dans sa résidence universitaire où le chauffage ne marche pas, cette couverture lui est d'une grande utilité, très doux, grand, léger et surtout chaude lui permet de rester au chaud et couvert. Faite toutefois attention car la couverture est branché à l'électricité et on est jamais à l'abri d'un feux</t>
  </si>
  <si>
    <t>Petite sacoche très fonctionnelle avec ses multiples compartiments. Utilisation quotidienne dès que l'on à faire à l'extérieur. J'aime beaucoup sa légèreté tout en restant solide.</t>
  </si>
  <si>
    <t>Du grand Sony Un beau packaging pour cet ensemble dans une belle boite. Documentation, 6 jeux d'adaptateurs pour les oreilles en sus de ceux déjà présents sur les écouteurs, câble de charge USB (attention usb-C).  Le boitier permet la recharge des écouteurs 3 fois, je n'ai pas encore pu mesurer l'autonomie, mais elle me semble très importante du coup.  L'application sous Android pour moi est très complète et permet une bonne personnalisation (réduction de bruit adaptatif, Equalizer....  Les écouteurs peuvent sembler un peu volumineux par rapport à la concurrence, mais en fait ils sont très confortables, légers et tiennent très bien.  Coté SON, c'est tout simplement excellent avec un equalizer très efficace qui offre de vrais profils. La réduction de bruit s'adapte automatiquement et semble performante. En ce jour de chaleur, je me suis placé devant le climatiseur plutôt bruyant, avec de la musique et il a pratiquement disparu de la surface (sonore). Il reste une petite perception du bruit ambiant, mais juste ce qu'il faut.  Rien à signaler coté téléphonie, ça fonctionne parfaitement avec une bonne écoute.  Un bon produit.</t>
  </si>
  <si>
    <t>Ressentie Esthétiquement jolie  Le point négatif c'est la petite cuillère</t>
  </si>
  <si>
    <t>parfait parfait et rapide correspond à la demande</t>
  </si>
  <si>
    <t>Comme au Cinéma ! &lt;div id="video-block-R19DNT34TDTNFP"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id="23" preload="auto" src="https://images-eu.ssl-images-amazon.com/images/I/A1ARJcf0xpS.mp4" style="position: absolute; left: 0px; top: 0px; overflow: hidden; height: 1px; width: 1px;"&gt;&lt;/video&gt;&lt;/div&gt;&lt;div id="airy-slate-preload" style="background-color: rgb(0, 0, 0); background-image: url(&amp;quot;https://images-eu.ssl-images-amazon.com/images/I/A1VU76k9G2S.png&amp;quot;);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value="https://images-eu.ssl-images-amazon.com/images/I/A1ARJcf0xpS.mp4" class="video-url"&gt;&lt;input type="hidden" name="" value="https://images-eu.ssl-images-amazon.com/images/I/A1VU76k9G2S.png" class="video-slate-img-url"&gt;&amp;nbsp;J’ai acheté ce vidéoprojecteur pour projeter des films sur le mur de mon salon et le rendu est impressionnant, mon seul regret est de ne pas l’avoir acheté avant.  Le rétroprojecteur est d’une taille peu encombrante, on peut donc facilement le ranger dans un meuble de télé, pour l’utilisation, on peut le poser sur un petit meuble mais il y a aussi un trou sur le dessous de prévu pour le fixer sur un pied d’appareil photo je pense.  La télécommande permet une parfaite navigation dans le menu et sur l’écran d’accueil, on a la possibilité de regarder des photos, des films, des vidéos…  Pour un rendu impeccable, il vous faudra un mur dégagé tout blanc uni ou acheter un écran adapté.  L’utilisation est simple, on branche un disque dur externe ou une clé USB dans l’appareil et dans l’écran d’accueil, on voit le périphérique, on rentre dedans, on sélectionne le film et on met lecture, possibilité de voir également des photos ou vidéos à partir d’un lecteur DVD, d’un appareil photo ou caméscope qu’on branche sur AV ou PC qu’on branche sur VGA.  Le rendu de l’image est bon, le son est correct, pour ma part, j’ai branché une mini enceinte externe sur la sortie casque pour un meilleur son comme au cinéma et là, on s’y croirait vraiment !</t>
  </si>
  <si>
    <t>Parfait ! Le produit correspond à nos attentes et nous en sommes très satisfaits. Il est efficace et de très bonne qualité.</t>
  </si>
  <si>
    <t>kdo ç'était pour offrir a ma belle fille elle a super adoré trés belle chaussure rien à redire</t>
  </si>
  <si>
    <t>Très bien. Très bien. A avoir des le début.</t>
  </si>
  <si>
    <t>ma fille adore Offert à ma fille de 5 an. La mise en route est un peu longue, mais très vite elle a mis en place les pochoir elle même et a même fait de très jolis dessins. L'activité paillette qui va avec demande un peu d'aide mais rend les dessins très jolis.</t>
  </si>
  <si>
    <t>Parfaites Chaussures pratiques pour marcher sur les galets ou sur les cailloux au fond de l'eau. Très jolies et taille adaptée comme prévue.</t>
  </si>
  <si>
    <t>très bien très chaud, très agréable à porter, prévoir taille au dessus ; j'en ai acheté deux du coup, un trop petit que j'ai donné à ma faille et un plus grand pour moi</t>
  </si>
  <si>
    <t>parfait je l'utilise tous les matins pour mon thé sans déranger la famille</t>
  </si>
  <si>
    <t>La photo ne donne pas la taille sur une oreille, dommage Trop petit</t>
  </si>
  <si>
    <t>heure et podometre Bonjour Suite au changement d horaire fin octobre impossible de mettre la montre à l heure Que dois je faire merci</t>
  </si>
  <si>
    <t>Deviens tout noir zéro il ne faut surtout pas acheté ce genre de bijoux pacotille . Ce pendentif c'est vraiment du toc il ne vaut rien il deviens tout noir au bout de quelques jours zéro ne pas acheté ce bijoux de pacotille je ne recommande pas.</t>
  </si>
  <si>
    <t>Moyen. Micro faible. Son ok Micro très faible. Les interlocuteurs n'entendent rien.</t>
  </si>
  <si>
    <t>Beyerdynamic DT 770 J'ai acheté 4 casques sur AMAZON et je profite de cette demande d'avis pour en donner ma comparaison (sur le sérieux de mon site de vente en ligne préféré, rien à dire, parfait). J'ai testé ces quatre casques sur deux baladeurs MP3, sur l'ampli casque d'une table de mixage (Home studio) et sur un piano numérique. Commençons par les AKG K240MKII (55 ohm) et AKG K702. Du point de vue "rendu sonore", ils sont quasi équivalents avec une toute petite supériorité au modèle K702 (un peu plus de basses fréquences). La spatialisation est moyenne, le manque de basses fréquences donne un son déséquilibré mais pas fatigant pour autant. Ces deux casques exigent d'avoir une grosse tête, sinon ils tiennent mal (pas de réglage) et ils ont un câble détachable. J'utilise donc le 240 pour écouter le son de ma tablette le soir pour ne pas déranger et le 702 sur ma table de mixage lorsque je n'ai pas envie d'être "coupé du monde" puisque c'est un casque ouvert. Le troisième casque est le BeyerDynamic DT770 pro (80 ohm). Un bon compromis du point de vue rendu sonore. Plus de basses fréquences que sur les AKG, pas du tout fatigant, il tient bien sur la tête et est très agréable à porter (réglable). Son défaut, pas de câble détachable. Je l'utilise sur ma table de mixage (plus volontiers que l'AKG K702). Enfin, l'Audio-Technica ATH-M50X. Le meilleur rendu sonore, la tessiture est étendue, les basses fréquences bien présentes pour un casque et la spatialisation plutôt bonne. Le confort est très bon (réglable) même si je préfère le velours et l'absence de rotules (perturbantes lorsque l'on manipule le casque) des trois autres. Le câble est amovible. J'utilise ce casque sur mon piano Kawai hdg étant relativement exigeant sur le son du piano vu que je joue principalement sur un Yamaha C3X. Sur ma table de mixage, et donc avec des sons de synthé, je trouve ce casque fatigant, trop extraverti pour cette utilisation sur la durée. Ce casque ATH-M50X est à conseiller pour l'écoute de musique sur lecteur MP3 ou sur ampli casque. Une fois que l'écoute a débuté, difficile de l'enlever.</t>
  </si>
  <si>
    <t>Impec Comme dit ci dessus: arretez d'obliger les gens à deposer un nombre de mots minimum...vous risquez de ne plus avoir d'avis ou que les negatifs!</t>
  </si>
  <si>
    <t>matériel de qualité pour avoir du café rapidement</t>
  </si>
  <si>
    <t>Rapport qualité/prix très bon Ayant tester de nombreux écouteurs Bluetooth, je suis très impressionné par le rapport qualité/prix de ces écouteurs Klim. Points positifs: -Prix très abordable -bonne qualité du son -emballage style luxe mettant le produit en valeur -très simple d'utilisation  Points négatifs: -les écouteurs sont larges ce qui ne rend pas vraiment beau sur les oreilles -le niveau sonore (poussé au maximum) n'est pas très puissant -la boîte de transport est plutôt fragile (j'ai fais l'erreur de la laissé dans la poche avant de mon sac. Rien de grave).  Je recommande donc ce produit seulement si c'est pour une utilisation simple comme écouter de la musique dans les transports, ect.. Si vous souhaitez écouter une musique avec une grande qualité ou assez forte, vous n'avez pas trouvé votre perle rare.</t>
  </si>
  <si>
    <t>Ce Produit correspond parfaitement à la photo Offert en cadeau, il a plu tout de suite. Qualité, finition... Très bon rapport qualité/prix. Envoi rapide dans un joli étui. Tout semble parfait, nous verrons à l'usage si elle tient ses promesses...</t>
  </si>
  <si>
    <t>tres fonctionnel tres bonne montre pratique le 'eclairage me convient tres bien, le bracelet ne fait pas mal  les numéraux sont tres visibles la vraie question est pourquoi les autres montres sont elles plus cheres franchement pour moins de 25 euros frais de port compris: 5 alarmes, un chrono un compte à rebour  2 horaires et une simple touche pour passer de l'heure d'été à l'heure d'hiver et risitante 10 bars( soit 90 metres sous l'eau)</t>
  </si>
  <si>
    <t>bouilloire elle convient parfaitement a mes besoins</t>
  </si>
  <si>
    <t>SACOCHE CUIR Bel aspect Parait solide Rangements pratiques et suffisants</t>
  </si>
  <si>
    <t>Bon rapport qualité prix Cette bouilloire est vraiment le top. Facile à manipuler et à nettoyer . C'est le produit idéal pour le bureau.. Elle ne prend vraiment pas beaucoup de place.</t>
  </si>
  <si>
    <t>utilisation classique, le prix et qualite idem</t>
  </si>
  <si>
    <t>Très bon produit J'ai fais de la marche, ils sont très confortables en plus il y a un petit trou pour les accrochées au cas où ils tomberaient. Très bonne autonomie et bonne qualité de sons. En plus il y a le pourcentage de la batterie sur le support de charge. La qualité du micro est bonne.je conseil cet article</t>
  </si>
  <si>
    <t>La classe Bracelet acier noir de bonne qualité et robuste. Le fermoir est efficace et simple d'utilisation, il ne s'ouvre pas tout seul. Un + pour la fourniture de l'outil à extraire les maillons pour adapter à la bonne taille.</t>
  </si>
  <si>
    <t>Satisfaite Article conforme</t>
  </si>
  <si>
    <t>Reçu rapidement Je ne trouve pas les tétines associées ... Joli biberon</t>
  </si>
  <si>
    <t>Lolo Excellente qualités très  bonnes  chaussure</t>
  </si>
  <si>
    <t>Produit conforme Le produit est de bonne qualité pour le cuir mais la semelle s'use trop vite. Moins de 1 ans</t>
  </si>
  <si>
    <t>Super sandales Très confortables, je les emporte partout, surtout bien adaptées pour les vacances autour des piscines. Me servent également comme pantoufles de chambre.</t>
  </si>
  <si>
    <t>tres bon ecouteurs Absolument satisfaite, parfait pour sport et quotidien  contient : le boitier, petit sac pour mettre le boitier les ecouteurs les rechange petits embouts plastique chargeur  tres bonne qualite du son, arrive deja charge pret a l'emploi. tient tres bien dans les oreilles, boitier ipetit et discret. Je suis entierement satisfaite et le recommande</t>
  </si>
  <si>
    <t>Super Très bien</t>
  </si>
  <si>
    <t>Non Le papier est certes doux mais fin. Comparé au Lotus Aqatutube que j'avais précédemment avec celui ci il me faut mettre trois fois plus de couches de papier pour ne pas qu'il se déchire au moment de l'essuyage. Le paquet va donc duré 2 à 3 fois moins de temps pour le même prix. Je n'en rachèterai pas.</t>
  </si>
  <si>
    <t>Rigide Taille grand et rigide</t>
  </si>
  <si>
    <t>Passable! Pour le fun!! Il ne faut pas s'attendre à un article extraordinaire !!!</t>
  </si>
  <si>
    <t>puma Bon maintient du pied dommage que la finesse les rendent fragile .À utiliser avec parcimonie si on ne veut pas voir des trous apparaîtres  .</t>
  </si>
  <si>
    <t>super Bien ... C'était pour un cadeau demandé par une adolescente qui était ravie...le produit semble  conforme à la demande.super ravie</t>
  </si>
  <si>
    <t>SAV  - Matériel ok J’ai reçu le colis en parfait état et dans les temps, malheureusement au déballage il manque le câble spiralé rouge (liaison caméscope /récepteur) D’apres Le SAV en ligne (chat) je dois juste renvoyer le tout et me faire rembourser ! Je dispose d’un autre câble d’un autre micro, néanmoins très déçu de l’expérience... Pour ce qui est du matériel proprement dit : super produit, son parfait et matériel qualitatif, dommage cet incident.  (Édit j’ai eu en ligne téléphonique une commercial, il crédite mon compte afin de recommander le câble, tout est bien qui fini bien donc !)</t>
  </si>
  <si>
    <t>Le juste choix pour remplacer les cartouches originales Indispensable pour imprimer les gros e-manuels des appareils récents et en avoir un usage pratique sans se ruiner. Quelques soucis  de gestion de la puce quand la cartouche doit être remplacée ( affiche cartouche non reconnue ). Mais le gestionnaire d'impression ( status monitor ) fonctionne correctement, donc il suffit de lancer la procédure de remplacement de cartouche et tout rentre dans l'ordre. Epson WF-2010 sous windows 10.</t>
  </si>
  <si>
    <t>très beau très joli rendu - pas transparent mais taille grand</t>
  </si>
  <si>
    <t>Basket Transaction rapide et chaussure conforme à la description</t>
  </si>
  <si>
    <t>Diffuseur d'huiles essentielles Je souhaitais profiter des bienfaits des huiles essentielles et j ai commandé ce diffuseur. Il est tout mignon par sa taille et son design mais il est également très efficace, il a trouvé sa place rapidement. Je ne regrette pas mon choix, je le conseille vivement.</t>
  </si>
  <si>
    <t>Excellent rapport qualité/prix Bonjour, Je viens d’acheter ces écouteurs et je suis agréablement surpris par la très bonne qualité général du produit. À voir sur la longue durée. Point fort: - son et matière de bonne qualité - 6 pairs d’embouts - mousse à mémoire de forme est juste génial Point faible: - La longueur du fil est bien trop long à mon avis.  Cordialement</t>
  </si>
  <si>
    <t>BTS concert il valait 40€ Ma fille adore</t>
  </si>
  <si>
    <t>Superbes chaussons La qualité est là. Taille normalement, ne blesse pas le pied, bon rapport qualité prix ! Je recommande ce produit à tous les hommes qui veulent des chaussons de qualité</t>
  </si>
  <si>
    <t>suoer marque Je prends que cette marque depuis la naissance de mon fils, ils sont au top et tétines adaptées à l'âge de l'enfant. Pas de maux de ventre non plus, j'en suis ravie</t>
  </si>
  <si>
    <t>Je recommande Parfait envoi rapide</t>
  </si>
  <si>
    <t>la cire qui a la couleur qu'il faut Superbe, un bonheur à étendre, on cirerait ses chaussures pour le plaisir uniquement avec cette cire. Et quelle gamme de couleurs !</t>
  </si>
  <si>
    <t>Comme des pantoufles Bon produit à usage quotidien</t>
  </si>
  <si>
    <t>Parfait qualiter au top super il a une qualiter ireprochable pour son prix rien a dir qualiter de son et super bonne et le trepied trop bien</t>
  </si>
  <si>
    <t>bien confort</t>
  </si>
  <si>
    <t>Chauffant très bien La couverture électrique est très bonne. C'est le meilleur cadeau pour les parents, les amoureux, les amis et les enfants cet hiver. Cet Coussin Chauffant peut réchauffer efficacement votre corps et soulager sa douleur</t>
  </si>
  <si>
    <t>J'adore Je porte cette montre au poignet depuis déjà 1 mois tous les jours sans exception, c'est parfait, merci beaucoup pour ce produit.</t>
  </si>
  <si>
    <t>Bouilloire facile à utiliser C'est une bouilloire bonne idée d'avoir incrusté des lumières LED</t>
  </si>
  <si>
    <t>au Top mon adolescente en est très contente , le son est de bonne qualité ,facile a mettre aux oreilles et  facile dans sa petite boite a ranger et pour recharger c'est original , je vais en recommander pour mes neveux car pas cher et bon rapport qualité prix</t>
  </si>
  <si>
    <t>Super produit, sauf la livraison ! Un beau sac, le cuir est de bonne qualité, les coutures sont solides, la conception est parfaite, je suis super satisfait de mon achat, par contre les livreurs ne sont pas du tout professionnels, colis jeté dans ma cours, malheureusement il pleuvait ce jour la, le carton d'Amazon était complétement détrempé, par chance, VISCONTI doit connaitre nos livreurs, la sacoche cuir était enveloppée dans plusieurs contenant, au final seul le sac en toile qui enveloppe le produit était légèrement humide, le cuir n'a pas eu de dégât ! Amazon 10/10 VISCONTI 10/10 Livraison 00/10</t>
  </si>
  <si>
    <t>Très décevant Bof trop serré pas bien coupé matière légère et n est pas du tout solide. Pas imperméable  donc inutile pour le sport</t>
  </si>
  <si>
    <t>Solidité médiocre au niveau de la semelle Pour être honnête ces chaussures esthétiquement ne sont pas horrible mais en terme de solidité c'est quand même une catastrophe j'ai dû les porter une quinzaine de fois et la semaine commence à se décrocher très déçu de ses chaussures</t>
  </si>
  <si>
    <t>DÉCEPTION J'ai acheté ce micro comme cadeau de Noël pour ma fille. ÉNORME DÉCEPTION. Seuls les haut-parleurs fonctionnent et non pas le micro, or c'est pour le microphone que j'ai effectué cet achat. Je ne recommande pas.</t>
  </si>
  <si>
    <t>le fonctionnement manuel est pratique mais merite d etre amelioré le principe est sympa, pas besoin de batterie ou de piles, l etiqueteuse est manuelle se qui est plutot pratique. mais pour que les lettres s imprime correctement il faut appuyer assez fort et encore plus pour couper le ruban. le plus simple s est de retirer la petite poignée afin d avoir directement la petite gachette qui se trouve dessous et la sa devient plus simple...</t>
  </si>
  <si>
    <t>Qualité moyenne pour passer des appels Ce casque remplit sa fonction principale, qui est écouter de la musique, le son est vraiment bon l'isolation au bruit extérieur est assez bonne. Le confort devient gênant au bout d'un moment, le casque sert et commence à faire mal au bout d'un moment.  Mais le vrai point négatif est lorsque que l'on prend un appel, la personne qu'on a en ligne nous entend de loin même dans un lieu sans bruit. Impossible de faire une conversation dans la rue avec.  Je conseille donc ce casque à ceux qui veulent écouter de la musique avec une bonne qualité audio</t>
  </si>
  <si>
    <t>Un peu plus épais ne serait pas mal.... Commandé pour remplacer mon ancien polaire qui avait fait son temps.. Dans l'ensemble c'est un bon produit mais un peu mince à mon goût lorsque l'on veut s'en servir à l'extérieur. Pour l'intérieur c'est parfait.</t>
  </si>
  <si>
    <t>Grille-pain vintage ! Super grille-pain vintage ! Il ne peut pas prendre de grande et épaisse tranche c'est le seul point négatif. Un peu imposant aussi, mais cela fait un bel accessoire de cuisine.</t>
  </si>
  <si>
    <t>Discret. Reçu dans les temps. Le dénudage de la gaine est un peu difficile et il faut faire attention, en séparant les conducteurs, de ne pas déchirer la gaine de l'autre (un peu comme les sachets de lardons). Un fois installé le long de mes poutres, ce câble est très discret.</t>
  </si>
  <si>
    <t>Satisfaite Exactement ce que j'attendais .pas de surprise,recommenderai ultérieurement. J'espère que cet article sera suivi.Ce serai bien s'il y avait plus de couleurs.</t>
  </si>
  <si>
    <t>Excellent produit Solide, beau, pratique. Parfait pour tous ceux qui apprécient ce type de produits. La qualité de fabrication laisse présager une longue utilisation.</t>
  </si>
  <si>
    <t>super produit plus que conforme et à un prix imbattable</t>
  </si>
  <si>
    <t>Top Acheté pour la rénovation d'un appartement et poser des prises hauts parleurs murale. Le câble est de bonne facture et robuste. Je recommande</t>
  </si>
  <si>
    <t>Un véritable coup de coeur Pour ce très beau petit sac passe partout.  Oui, il est petit mais suffisant quand on est pas du genre à s'encombrer du superflu.  On peut le porter à l'épaule ou en bandoulière ( pour ma part, je préfère ). Il est léger ( quand il est vide, bien sûr ^^ ) et assez souple. J'ai lu beaucoup de commentaires sur l'odeur qu'il dégage, mais seulement après l'avoir commandé, du coup, j'avais un peu peur de ce que j'allais découvrir à l'arrivée. Mais en fait, ce n'est pas dérangeant du tout . Ça sent le cuir quoi ! Un sans faute en ce qui me concerne. J'ADORE !</t>
  </si>
  <si>
    <t>Toujours efficaces ! Cela fait partie des incontournables à avoir pour des tournées de linges mélangés qui soient sans soucis, à savoir sans transferts de couleurs à la sortie si vous voyez ce que je veux dire. C’est simple mais tellement pratique que je ne saurais plus m’en passer et je vous les recommande vivement.</t>
  </si>
  <si>
    <t>parfait tetines resistantes dans le temps</t>
  </si>
  <si>
    <t>Stable et léger Très bon petit trépied, stable, léger mais solide, de conception simple et au prix ridicule. Utilisé avec un Rode NT4 réputé pour son poids important. Pas de basculement. Un deuxième trépied me permet de positionner deux Rode NT5 en grand AB pour des prises de son panoramiques en extérieur</t>
  </si>
  <si>
    <t>Au top pour les sportifs ou non Alors livraison et produit conforme. Les écouteurs s'adaptent facilement, il est existe trois tailles possible à l'intérieur du coffret. La connexion en Bluetooth est rapide et facile. Le son est d'une qualité exceptionnel, et la réduction du bruit est efficace. Au sport , ils tiennent très bien dans les oreilles malgré la transpiration, leur autonomie est fiable et conforme, le boitier rechargeable est fiable du coup toujours prêts pour mes séances de sport. La gestion avec bose connect est facile et rapide. Le sport avec de tels écouteurs, c'est vraiment le top!</t>
  </si>
  <si>
    <t>Très bien Produits conformes aux attentes</t>
  </si>
  <si>
    <t>Rien Satisfait</t>
  </si>
  <si>
    <t>Très satisfaite Chaussures très confortable Idéal pour randonnée Commande super</t>
  </si>
  <si>
    <t>Une super paire ! Tellement classes et ultra confortables ! Une super alternative aux StanSmith que tout le monde porte. Elle se portent avec tout</t>
  </si>
  <si>
    <t>cartouche encre 541 xl canon prix intéressant, grande capacité, livraison rapide</t>
  </si>
  <si>
    <t>Top Génial</t>
  </si>
  <si>
    <t>Impeccable, pas déçu 5 jours sur 7 7h30 / jours dedans et zéro soucis, se porte bien, pas de douleurs.  Attention certains collègues ont voulu testé mais les pieds larges ressentent une douleur à droite ou à gauche au niveau de la coque</t>
  </si>
  <si>
    <t>Rénovation cuir. Produit pas terrible, ne repart pas le craquage sur un canapé en cuir, et enlève la couleur. Je suis déçu.</t>
  </si>
  <si>
    <t>le prix ne correspond pas au produit (trop cher) impossible de faire correspondre les jours et la date  !!!</t>
  </si>
  <si>
    <t>Trop petites Il vaut mieux prendre une taille au dessus !</t>
  </si>
  <si>
    <t>Jai trouvé les même a boucoup moin chère .. Utilisez pour marcher, tres fragile...</t>
  </si>
  <si>
    <t>Bon rapport qualité prix Non rapport qualité prix Mais dommage que l'ouverture doit se faire avec une autre mains pas de bouton ouverture auto</t>
  </si>
  <si>
    <t>Tres sympa à utiliser Chants lors de soirées entre amis</t>
  </si>
  <si>
    <t>Bien chaud Super pour se balader dans la maison quand il fait froid, mais a porter avec un t-shirt en dessous car les coutures grattent un peu ;-)</t>
  </si>
  <si>
    <t>Stylé Magnifique mais le survêtement est un peu large</t>
  </si>
  <si>
    <t>Paraît fragile Fait le job pour du live entre un contrôleur et les réseaux sociaux</t>
  </si>
  <si>
    <t>Très bon produit Génial hyper confortable et reçu à la bonne taille je ne pourrai plus m'en passer je vais même en commander dans une autre couleur</t>
  </si>
  <si>
    <t>Grandes enveloppes de super qualité Comme toujours avec les produits Clairefontaine que j'utilise depuis mes années collège, super qualité. Ces enveloppes sont grandes et solides.</t>
  </si>
  <si>
    <t>Très bien Tres bien, fait son job</t>
  </si>
  <si>
    <t>Parfait Il est parfait ! Epais il galbe bien et fait une très belle silhouette Je l'utilise pour le Running, il est très agréable, taille haute, je me sens très bien en mouvement et bien maintenu je recommande vivement</t>
  </si>
  <si>
    <t>simple mais très agréable à porter une montre très simpliste mais suffisante car c'est pour porter tous les jours elle est agréable à porter et s'accorde avec beaucoup de tenue simple mais jolie!</t>
  </si>
  <si>
    <t>super rapport qualité prix Ces brassières sont de bonne qualité, avec de très jolis couleurs. En revanche si vous cherchez un bon maintien, passez votre chemin, elles ne sont pas faites pour ça.Au niveau de la taille, je dirai que M irait de 85B/C à 90B/C.</t>
  </si>
  <si>
    <t>lot de cartouches hp J'ai acheté ce lot de cartouches d'encre Hp pour mon imprimante. Elles sont similaires à celles que j'achète habituellement en hypermarché sauf que j'ai payé ce lot beaucoup moins cher. Les cartouches sont vraiment conformes et identiques. Aucun problème après 15 jours d'utilisation. Je recommande. N'hésitez pas à cliquer si vous trouvez mon commentaire utile.</t>
  </si>
  <si>
    <t>sac très pratique très bon produit avec de multiple rangement</t>
  </si>
  <si>
    <t>Jolies petites gommettes Super qualité-prix! Mon fils de 18 mois est enchanté! Par contre elles sont vraiment petites.</t>
  </si>
  <si>
    <t>Très bien Taille très grand mais je les ai gardées quand même. Très bonne qualité, très confortables</t>
  </si>
  <si>
    <t>Commentaire Ficelle de bonne qualité pour plante suspendu.</t>
  </si>
  <si>
    <t>Idée pour un cadeau J'ai acheté ce grille pain pour l'offrir, et la personne en est très contente. Pratique, rapide, design et reçu du jour au lendemain.</t>
  </si>
  <si>
    <t>Super petit lot, idéal pour un cadeau de naissance ! Lot conforme à la description Amazon, pas de mauvaise surprise. Les biberons sont très solides, l’ouverture est suffisamment grande pour être à l'aise lors du remplissage du lait et nu nettoyage.  La couleur tient bien, pas de problème même en lavage au lave vaisselle.  Pack complet, ça plaiera beaucoup en tant que cadeau de naissance.</t>
  </si>
  <si>
    <t>Une belle montre automatique accessible. Comment s'offrir une automatique sans y laisser un bras ? En s'orientant vers ces SEIKO 5. Un mécanisme éprouvé, certes pas fabriqué au japon, mais qui ne pose pas de problèmes particulier. La précision n'est pas diabolique, loin des standards suisse, mais elle ne perd ou prend que 15 s par jour. Donc une petite mise à l'heure 1 ou deux fois par semaine et le tour est joué. De plus, ce qui m'impressionne le plus, c'est la qualité des finitions. Pour ce prix je la trouve bluffante.</t>
  </si>
  <si>
    <t>Attache cassée L'attache n'est pas résistante du tout, cassée des que le deuxième jour. Déçu</t>
  </si>
  <si>
    <t>tres mitigé... la boucle a l'air de qualité mais la ceinture est extrêmement fine, incompatible avec le rajout de matériel parfois lourd..</t>
  </si>
  <si>
    <t>De mauvaise qualité Le gilet se dégrage après quelque lavage</t>
  </si>
  <si>
    <t>Très utilt Crayon très utile, en revanche il faut bien appuyer fort pour avoir la peinture à chaque fois pour que la peinture arriver</t>
  </si>
  <si>
    <t>A confirmer ! Bonjour, le produit est conforme à la description , sauf pour l'étui De rangement  il n’est pas du tout le même !!!  serait-il possible d’avoir celui avec la marque dessus qui est décrit sur la photo ?</t>
  </si>
  <si>
    <t>Bon casque mais ... Le casque Bluetooth a un son bon et claire mais sans plus, manque un peu de basse, l'autonomie est moyenne (2 a 3 heures max) mais le plus dommage pour moi c'est qu'on ne peux pas utiliser l'oreillette gauche sans la droite, mes anciennes oreillettes dodocool c'est possible.</t>
  </si>
  <si>
    <t>Article de qualité Bel article de qualité, jolie couleur, confortable, facile à entretenir. Juste une réserve : malgré les consignes de lavage bien respectées, tendance à boulocher.</t>
  </si>
  <si>
    <t>chaussettes Puma J'ai attendu un peu avant de les recevoir mais elles étaient conformes à ce que j'attendais et je n'ai pas eu de surprises.</t>
  </si>
  <si>
    <t>Hyper confortables Très bon rapport qualité prix. C'est ma deuxième paire. S'use au bout d'un an et des centaines de km.</t>
  </si>
  <si>
    <t>Confort Très confortable, j ai l impression d etre dans des chaussons.</t>
  </si>
  <si>
    <t>PARFAIT Fonctionne aussi dans la cave qui  et à côté de mon appartement les deux portes fermé avec les écouteurs ET SANS TÉLÉPHONE DANS lA POCHE LES ÉCOUTEURS FONCTIONNENT TRES BIEN.</t>
  </si>
  <si>
    <t>Bon produit Bon produit qui semble de bonne qualité et en plus qui est jolie.</t>
  </si>
  <si>
    <t>Super Super le collier est compris vvment noel hihi</t>
  </si>
  <si>
    <t>Superbe ! Puma , une marque que j'adore car elle tiennent longtemps , pas juste 2 ans comme Nxxx ! Elle sont vraiment jolies , la touche rouge a l’arrière lui donne un effet Whou . L'amortie niveau talon est top grâce a cette matière rouge . Devant la semelle est très fine , idéal pour les pilotes auto en herbe , Un excellent touché de pédales , on sent tout . La finition est exemplaire , le seul reproche est que la chaussure est assez fines devant , et moi j'ai les pieds large . Bref pompe au top pas si chère que ca finalement .</t>
  </si>
  <si>
    <t>belle montre de sport belle montre, j'adore suunto,  et pas cher. il y a 10 ans elle coûte le double. j'ai vu un promo ici même pour à peine 100 et quelque euros... j'ai payé plus mais aucun  regret.  le problème de suunto était de changer la pile,  problème  résolu,  on ne peut pas faire plus simple et le piles à moins de 2 euros à changer soi même.</t>
  </si>
  <si>
    <t>100% coton Agréablement surprise par ce pantalon 100% coton, je m'attendais vraiment à moins bien au vu du prix. Il n'est pas d'une douceur incroyable mais on est tout de même bien dedans, l'élastique large ne serre pas le ventre et la taille est bonne. Très contente.</t>
  </si>
  <si>
    <t>Très bien Prendre une pointure au-dessus</t>
  </si>
  <si>
    <t>de qualité impeccable pour dialoguer et même pour enregistrer un instrument de musique</t>
  </si>
  <si>
    <t>Beau design Rapide peu bruyante, jolie</t>
  </si>
  <si>
    <t>Très satisfait Utilisé par un adolescent, ce casque le ravit. En effet le rendu sonore ainsi que le design sont digne d'une grande marque!! Les écouteurs se rangent dans une boite qui en plus de les protéger les rechargent. On peut les adapter, grâce à plusieurs embouts, à toute la famille. L'association en bluetooth se fait très facilement, les boutons tactiles sont intuitif pour l'utilisation du volume et des changements de plages sur les deux écouteurs. On peut également l'utiliser pour téléphoner le rendu est largement satisfaisant.</t>
  </si>
  <si>
    <t>Très bien ! Utilisation pour mes révisions, ces surligneurs sont très pratiques, clairs (la teinte n'est pas trop foncée) faciles à manier, je recommande !</t>
  </si>
  <si>
    <t>Parfaite Taille parfaite. Hauteur comme sur la photo légèrement plus haute que la cheville! De très bonnes qualités. Je les conseillé!</t>
  </si>
  <si>
    <t>Qualit_x0017_é. Mauvaise qualité.</t>
  </si>
  <si>
    <t>C’est nul Ça fait 6 mois que j’ai acheté jbl Bluetooth écouter  sur amazon. au début il est bien mais après 6 mois marche plus, 40€ perdu, mouvais qualité, jamais acheté jbl écouter !!!</t>
  </si>
  <si>
    <t>Bcp trop petit. Déçu de ce pantalon qui est trop petit je fais du 46 et j'ai pris la plus grande taille. Retour gratuit par contre mais voila 2eme pantalon reçu marre de renvoyer. Et qualité du textile moyen. A ce prix on peut en trouver des mieux.</t>
  </si>
  <si>
    <t>Bof Poches multiples et bien agancées. Contenance amplement suffisante. Les dimensions intérieures permettent d'y placer un (plusieurs) cahier spirale format A4 sans problème. Je suis moins optimiste pour ce qui est du tissu. Il est épais et très résistant mais d'un marron délavé avec parfois des "marbrures" de lavage. De plus le système de fermeture des poches par aimant n'est pas très pratique. Les aimants sont faiblard et il faut vraiment bien positionner les rabats pour qu'ils s'aimentent. 2 petites poches intérieures ( tel portable / badge)  -  1 grd poche intérieure zippé 1 grd poche ext zippé  -  2 petites poches ext à rabat aimantés.  Je conseille pour un style vintage-casual.</t>
  </si>
  <si>
    <t>Jolie bague. Un peu terne. Alors oui la bague est plutôt jolie, elle est aussi légère. Le seul point négatif à mes yeux: le bleu sur la photo est largement exagéré par rapport à la réalité. Du coup l’effet réel donne un aspect très sombre. A noter aussi qu’elle n’est pas lisse, le liseré est en sous impression (il y a un creux entre les deux bandes noires) et personnellement je n’aime pas trop. Après elle est assez sympa. Peut être un peu cher pour ce que c’est au final.</t>
  </si>
  <si>
    <t>bien mais attention au dimension</t>
  </si>
  <si>
    <t>Très bien Très bien. Bon produit. Envoyé rapidement. Le cuir n'est pas d'une excellente qualité, mais en accord avec le prix.</t>
  </si>
  <si>
    <t>Facile à changer , bonne impression J'ai choisi ce bracelet pour remplacer celui de ma Nokia Steel HR dont le soit disant silicone me provoquait des allergies et brûlures. Ravie de mon achat, facile à changer, et à ajuster. Maintenant à voir sur le long terme... Pour le moment je conseille. Très joli.</t>
  </si>
  <si>
    <t>Correspond au descriptif, trés simple à installer et utiliser Ce casque est très simple à appairer et utiliser, il s'appaire automatiquement avec le petit boitier émetteur d'origine mais également directement avec d'autres émetteurs (un téléphone portable par exemple). Le son est perfectible par rapport à un casque fermé (en écoute musicale via un portable) mais très bien pour la TV,  c'est un excellent compromis pour qui veut écouter la TV sans gêner son entourage, le casque est très lègé et plutôt agréable à porter (contrairement à un casque fermé), la portée du Bluetooth est très importante, même à travers une cloison. Grande autonomie avant recharge; reste à voir la fiabilité dans le temps.</t>
  </si>
  <si>
    <t>Produit ok Tous ok sauf achat je voulais payer en 4 fois sans frais et ça n'a pas fonctionné</t>
  </si>
  <si>
    <t>Oreillette Le design des oreillettes sont très aboutie, avec la petite boite qui va avec on peut le transporter partout c'est vraiment pratique, quand a la qualité du son le bruit est très bien isolé !</t>
  </si>
  <si>
    <t>Très bon achat Très satisfait par ce produit, ayant déjà remplacé une fois le chargeur de mon enceinte SoundLink III par un chargeur officiel Bose (malgré une enceinte de très bonne qualité, Bose a la fâcheuse manie comme Apple de facturer les pièces de remplacement à un prix excessif), j'ai cette fois décidé de m'orienter vers un produit générique plus abordable. La seule différence constatée avec un chargeur officiel se fait au niveau du prix. La charge est rapide et les connectiques robustes, je recommande.</t>
  </si>
  <si>
    <t>Recommande Acheté une 1ere fois, satisfaite du produit, très bon rapport qualité prix, taille bien</t>
  </si>
  <si>
    <t>RAS Bon produit. Je cherchais un stérilisateur qui pourrait entrer dans mon petit micro-onde, c'est le plus petit que j'ai trouvé et il entre parfaitement bien. Grande capacité de stockage à l'intérieur. Très facile d'utilisation. Permet de stériliser et sert de sèche biberon ensuite. Je suis entièrement satisfaite de ce produit. Bon rapport qualité/prix</t>
  </si>
  <si>
    <t>Pratique et utile. Assez facile à utiliser. Tiens bien le vêtement si on suit la notice....en espagnol ! (Même après lavage). Livraison rapide</t>
  </si>
  <si>
    <t>Bracelets Très jolis bracelets et de bonne qualité. Surprise pour le prix. Je recommande</t>
  </si>
  <si>
    <t>Au top pour taches d'huile sur sieges tissus A parfaitement fonctionné pour des taches d'huile sur siège tissus. Je recommande.</t>
  </si>
  <si>
    <t>Bon rapport qualité/prix Agréablement surpris par ces écouteurs, pour le prix le son est vraiment bon, avec d'assez bonnes basses, la réduction du bruit est plutôt efficace et ils tiennent bien en place (pas testé en faisant de l'exercice parce-que ce n'est pas mon truc ^^ ... mais je n'pense pas que ça bouge). Pas testé en appel encore mais en tout cas pour la musique j'en suis satisfait ! (bien faire attention d'allumer les 2 écouteurs par contre avant d'associer au téléphone sinon un seul écouteur fonctionnera)</t>
  </si>
  <si>
    <t>Super ! Super produit. Légère mais tienne aux pieds. Bon rapport quanlité prix. Je pense en recommandé en d'autre couleur</t>
  </si>
  <si>
    <t>Top Adapter parfaitement à mon imprimante produits correspondants à son descriptif</t>
  </si>
  <si>
    <t>Nickel Acheté en cadeau de Noël. Elles sont parfaites. Ma nièce est ravie de son cadeau et moi aussi par conséquent</t>
  </si>
  <si>
    <t>Belle chaussures Super chaussures(Salomon) de trail avec Du gripp .. le seul soucis c'est d'avoir votre pointure . Car c'est compliqué avec Salomon ( Perso j'ai pris du 46 pour une taille normale de 44 / 45 donc prendre une taille de plus que votre taille normale</t>
  </si>
  <si>
    <t>PARFAIT, rien de plus. Excellent produit, je l'ai comparé avec mon main libre de série que j'ai sur mon kangoo du travail, et il est bien mieux au niveau sonore. On m'entend mieux sur le SuperTooth, l'appairage se fait très facilement, bref, que du bon pour ce produit. Achetez le les yeux fermé. Il dispose d'un support qu'on pose sur le pare soleil, et le SuperTooth viens s'aimanter dessus.</t>
  </si>
  <si>
    <t>Tès décue j'avais lu les commentaires avant d'acheter et j'ai été très déçue, ce sac en simili cuir est très raide plus plastique que simili cuir de plus il est lourd même vide. J'ai eu beaucoup de difficulté à le remettre en forme les coins du sac étaient rentrés vers l'intérieur et j'ai du le bourrer de papier  pour lui redonner sa forme normale, j'espère que lorsque j'enlèverais le papier il restera en forme, D'autre par, conte tenu qu'il est très raide les fermetures éclair sont très difficiles à manipuler dans les angles. C'est dommage car l'organisation de ce sac est très bien faite et il est de bonnes dimensions. Ce sac ne me servira vraisemblablement qu'occasionnellement. Conte tenu de sa matière ce sac ne s'assouplira pas.Si ne le renvoi pas c'est que j'ai des difficultés à me déplacer. Je le déconseille vraiment !</t>
  </si>
  <si>
    <t>Trop grandes et trop lourdes Utilise au travail dans un supermarché,  bien trop lourdes pour ma part de plus trop grandes</t>
  </si>
  <si>
    <t>INADMISSIBLE merci pour vendre un produit ,il faut une NOTICE EN FRANCAIS je ne lis ni l'allemand ni l'anglais AMAZONE devrait contrôler  ces produit  je ne sais si c'est un chargeur  pour piles ou pour remplacer celles ci POURQUOI N'EST T'IL PAS COMPRIS AVEC LE PIANO  C'EST INADMISSIBLE</t>
  </si>
  <si>
    <t>Fragiles Très beau bijoux, mais très fragiles cependant.</t>
  </si>
  <si>
    <t>cordon d'alimentation trop court petite bouilloire très pratique, marche encore très bien après plusieurs mois d'utilisation au quotidien. Il n'y a pas  de socle détachable, alors  cela aurait été mieux que son cordon d'alimentation électrique soit plus long.</t>
  </si>
  <si>
    <t>Bon produit nickel pour le prix. Le son n'est pas le meilleur point fort de ce produit mais reste tres correct vue le prix et ca marche bien sans se déconnecter et l'autonomie est deviron 8h et se recharge vite. En 1/2h de recharge j'écoute pendant 4h. Nickel. Le meme avec un meilleur son je le prend direct.</t>
  </si>
  <si>
    <t>Bien Bien mais pas 100% efficace</t>
  </si>
  <si>
    <t>Contente Offert par mon fils pour la fête des mères, c'est un très beau cadeau et je le porte fièrement. Si je devrais donner un aspect négatif à ce collier c'est la maille de la chaîne pour la fermer qui me semble un peu fragile.</t>
  </si>
  <si>
    <t>Mon retour d'expérience Voici un rapide retour d'expérience :  + le style sweat capuche + à l'air solide  - livré taché (modèle en retour client ?) ! - taille grand  Me concernant, j'ai organisé le retour du produit en raison de la tache d'environ 1cm au niveau des poches ventral. Dommage</t>
  </si>
  <si>
    <t>Confortable légère  souple 1er merell pour moi je ne regrette pas mon choix  je recommande</t>
  </si>
  <si>
    <t>La qualité  au top ! Bonjour Les chaussettes  super bien ! De bonne qualité ! A recommandé , mon fils est très content  !  Merci</t>
  </si>
  <si>
    <t>Mes écouteurs préférés Très bons écouteurs, la qualité sonore est parfaite, en plus, ils sont confortables et ne font pas mal aux oreilles (mes oreilles sont hypersensibles et facilement abîmées, la majorité des écouteurs les fait saigner). J'aime aussi que l'isolation du bruit extérieur soit très bonne, mais pas complète. Je déteste le vacuum sonore proposé par beaucoup d'autres écouteurs qui fait qu'on n'entend absolument rien (pour moi, c'est une sensation désagréable, en plus, dangereuse dans la rue et pas très pratique en général). J'adore vraiment ces écouteurs !</t>
  </si>
  <si>
    <t>Une montre Casio comme on s’y attend Montre Casio qui respecte ce qu’on attend d’elle, c’est à dire supporter les promenades et surtout les plongeons dans la piscine cet été. Pour le style, c’est du Casio, il ne faut pas s’attendre à une montre design, mais ça on le voit sur les photos de l’article !</t>
  </si>
  <si>
    <t>Bonne affaire mais taille petit Attention il taille un peu petit le S est plutôt un 16 ans mais de bonne qualité tient bien au lavage</t>
  </si>
  <si>
    <t>Très jolie Simple et jolie, de bonne qualité à première vue, à voir sur le long terme. Conforme à mes attentes.</t>
  </si>
  <si>
    <t>Illumine le petit déjeuner ! Il peut trouver sa place presque partout car il est vraiment très classe avec son tableau de bord à 5 boutons et sa finition inox / verre noir !  Les boutons (+) et (-) donnent le choix entre six températures repérées par leds bleues. Les autres boutons permettent l'éjection, le réchauffage et, enfin, la décongélation, automatiquement suivie du grill. Son ouverture mesure 26cm de long et accepte les épaisseurs jusqu'à 28mm.  Astucieux : son levier peut être relevé en cours de fonctionnement pour vérifier le bronzage de la tartine sans interrompre le cycle de chauffage ! Le tiroir à miettes, discret, se libère d'un simple appui et peut se dégager totalement.  En plus d'être beau,  il est rapide et grille uniformément, un régal !</t>
  </si>
  <si>
    <t>Bon produit Bon produit fonctionne très bien et correspond à notre recherche, nous conseillons ce produit les températures se gèlent rapidement et simplement</t>
  </si>
  <si>
    <t>Super Cest génial ma fille cest éclater</t>
  </si>
  <si>
    <t>super c'est vraiment comme sur la photo très beau cadeau très belle pièce magnifique</t>
  </si>
  <si>
    <t>super super basket, très belle et surtout très confortable</t>
  </si>
  <si>
    <t>conforme aux photos, taille adaptée et tres bonne qualité générale. Je suis totalement satisfait de ce produit. Conforme aux photos, taille adaptée et tres bonne qualité générale. Egalement tres confortable.</t>
  </si>
  <si>
    <t>CHARMS J'ai commandé deux charms que j'ai reçu le 12 décembre 2017. Le délai prévu était à partir du 18 décembre. Je suis contente de ces deux jolis charms qui s'adaptent bien sur mon bracelet Ninaqueen. A voir comment ils vont évoluer dans le temps mais niveau qualité prix... Imbattable !</t>
  </si>
  <si>
    <t>très bonne qualité Pour des premiers écouteurs bluetooth c'est une grande surprise. Ils se sont connectés très simplement et rapidement. La qualité sonore est très bonne que se soit en écoute de musique ou en appels, d'ailleurs le micro fonctionne bien également car je n'ai pas eu de retour négatif de mes interlocuteurs au téléphone pendant mes appels et les touches tactiles font très bien l'affaire avec les fonctionnalités du téléphone. l'autonomie est bonne et suffisante surtout avec la boite de recharge qui se range facilement dans une poche.</t>
  </si>
  <si>
    <t>Conforme et livraison rapide Très bonne qualité, recharge annuelle que je ne trouve pas toujours en ville</t>
  </si>
  <si>
    <t>Nul Le talon se bouffe au bout de quelque jour . Totalement inconfortable. Laisse des traces sur les chaussettes blanche</t>
  </si>
  <si>
    <t>À l’air superbe correspondant à la description. Dommage veste superbe mais commandée en L et reçu en XL. Pas de proposition d'échange à part le remboursement.</t>
  </si>
  <si>
    <t>Très bonne qualité 3€ trop cher J'aime vraiment bien ces stylos, mais depuis qu'ils sont parfaitement copié par la concurrence pour la moitié du prix, je me demande vraiment si j'ai bien fait d'acheter ces recharge hors de prix !  Je conseille d'aller voir la concurrence.</t>
  </si>
  <si>
    <t>Fais son job Bien fais son job. Par contre, mes filles les décollent très facilement et j'ai reçu une couleur jaune alors que je m'attendais à du blanc... d'où mes deux étoiles en moins.</t>
  </si>
  <si>
    <t>150ml Diffuseur d'Huiles Essentielles VicTsing Acheté pour une amie elle est très satisfaite de cette achat, utilisation très simple, peu encombrant, ce fond très bien dans l'environnement du salon, beau, fonctionne parfaitement.</t>
  </si>
  <si>
    <t>Très confortable Chaussures très confortable, j'ai rangé mes souliers C'est terminé de ce casser les pieds</t>
  </si>
  <si>
    <t>Réveil Réveil pris pour notre fille de 6 ans. Il est très bien mais la programmation du réveil façon lever de soleil n'est pas évidente</t>
  </si>
  <si>
    <t>mon avis sac bandoulière de qualité, mais un peu petit ; bonne qualité de la bandoulière</t>
  </si>
  <si>
    <t>Basket compensée Jamron Très confortable, légèrement compensée (c’ est super pour les «&amp;nbsp;petites&amp;nbsp;»!), prendre sa pointure habituelle. Moi qui ne mettais jamais de basket,Je les ai en blanc, en noir et en beige et j’en suis ravie!</t>
  </si>
  <si>
    <t>Rapport qualité prix imbattable Rouleaux achetés pour un déménagement. Utilisé avec un dévideur, rien à redire, fait le job. Ruban résistant, permettant de fermer les cartons solidement.</t>
  </si>
  <si>
    <t>Rien a redire Pour a peine 50 € prix plus que raisonnable ces baskets on l air solide a voir dans le temps</t>
  </si>
  <si>
    <t>Génial Parfait</t>
  </si>
  <si>
    <t>Isolation active peu puissante, qualité audio, confort et connectivité au top. J'ai essayé plusieurs casques à isolation active : Bose QC35 &amp;amp; 700, Sony WH-1000XM3, B&amp;amp;O Beoplay H9. Mon analyse se basera en parti sur ceux-ci.  Commençons par les points forts :    - Confort exceptionnel. Je ne dis pas cela souvent, mais on pourrait presque oublié qu'on le porte, ses coussinets sont incroyables, et l'arceau est très bien pensé.   - Son excellent :   - Basses : Très présentes, elles ne sont pas aussi impactantes que sur le H9 (ce que je trouvais fatiguant à la longue), mais sont tout de même très précises et plaisantes. Clairement, ce casque est orienté vers cette partie du spectre, même si, comme je l'évoquerai juste après, les mediums et aigus ne sont pas sans reste.   - Medium : Doux et détaillés, ceux-ci rendent parfaitement les voix, dans pratiquement tous les genres. Ils complètent admirablement les basses sur du metal ou du rock.   - Aigus : Un peu en retrait, ils sont très chaleureux, détaillés, et agréables à écouter.   - Spatialisation : Excellente. La meilleure que j'ai pu écouter en sans fil.   - Connectivité : Il n'y a pas une myriade de codecs audio comme sur le Sony, mais suffisamment pour permettre une utilisation variée (codecs du produit : aptx, aptx low-latency, AAC). Il est cependant remarquable vis-à-vis de la stabilité de connection. Je n'ai quasiment aucune coupure, ni aucun soucis à me connecter à un nouvel équipement. De plus, le fait d'intégrer à ce casque le codec aptx low-latency vous permez de l'utiliser lorsque vous regardez un film, ou jouez à un jeu vidéo, sans aucun délai perceptible.  Points faibles :    - Isolation : Le casque n'offre, passivement, qu'une isolation peu importante. Soit, là n'est pas le problème, la majorité des casques à isolation active ne sont pas excellents dans ce domaine. Cependant, là où est le problème sur ce casque, c'est que l'isolation active n'est pas non plus très efficace. On peut certe choisir 3 modes différents d'isolation, permettant d'avoir un ressentit différent sur l'oreille (pression), mais l'isolation reste très peu impréssionante, et bien peu en dessous des produits Bose, Sony, ou même Bang &amp;amp; Olufsen.   - Petit point négatif : il est impossible (à ma connaissance, après avoir lu le manuel et cherché sur internet) d'éteindre le casque sans le plier, un peu embettant si on souhaite laissé le casque sur un pied.  Conclusion :  Je recommande fortement ce casque si l'isolation active n'est pas votre priorité. Elle fera quand même son affaire sur celui-ci, mais vous serez impresionné par tous les points positifs que j'ai cité plus haut, qui en font un des meilleurs casques sans fil du marché. Si l'isolation active est la principale de vos priorités, tournez vous vers le Bose 700, qui est également un excellent produit.</t>
  </si>
  <si>
    <t>Conforme à ma demande Produits conformes, mais encore essayé, mais bon ce n’est que du fils ça ne devrait pas poser de problème</t>
  </si>
  <si>
    <t>Produit au top !! Produit de bonne qualité. Ravi de mon achat. Produit bien emballé. Je suis satisfait.</t>
  </si>
  <si>
    <t>Deeplee Ça BIPE un peu fort à mon goût . Niveau de la qualité et esthétique il est vraiment pas mal.</t>
  </si>
  <si>
    <t>pratique et livraison rapide randonée</t>
  </si>
  <si>
    <t>qualité Rien a dire sur ce produit, elles sont top.</t>
  </si>
  <si>
    <t>Parfait Parfait .</t>
  </si>
  <si>
    <t>Légères et sympa Ces baskets légendaires sont légères et sympa à porter. Elles taillent un poil grand (1/2 à 1 pointure en plus en norme Française). Mais ce n'est pas gênant, car cela permet d'avoir des chaussures qui ne viennent pas blesser le bout des pieds, pour ceux qui marchent beaucoup avec. Arrivées dans les délais comme toujours avec Amazon. Seul petit bémol à reprocher parfois : selon les pays de fabrication, des traces de colle ou de problème de positionnement des languettes sont parfois constatés. Vive les vraies anciennes Converse made in USA de ma jeunesse qui ne rencontraient jamais ce type de problème. Mais ça, comme le fit la pub, c'était avant ...... De même, mes chaussures sont à chaque fois arrivées avec l'un des 2 lacets trop court et pas de même longueur que son homologue. ?? C'est pénible ! Je n'ai trouvé aucune explication à cela sur le net. Mais comme j'ai 2 paires de chaussures, j'ai finalement reconstitué une vraie paire avec ses deux lacets identiques à partir de 4 lacets.</t>
  </si>
  <si>
    <t>Blancheur, propreté ! J’utilise les produits VANISH depuis des années. Je ne connais rien de mieux pour blanchir, enlever les tâches et entretenir le linge, surtout le linge de maison ! Un incontournable à avoir chez soi !</t>
  </si>
  <si>
    <t>Très bonnes baskets Basket running comme des chaussons . J ai fais un très bon choix Déjà fait plus de 200 km de courses.</t>
  </si>
  <si>
    <t>C'est ce que j'attendais Le colis reçu correspond parfaitement à ce que je recherchais : 2 palettes, qui sont relativement petites et ne prennent donc pas trop place, et les 12 pinceaux, avec toutes les tailles. Je ne les ai pas encore testés, mais à première vue la qualité a l'air d'être au rendez-vous</t>
  </si>
  <si>
    <t>Niveau réduction du bruit on est bon Plutôt agréablement surpris par la qualité de l'écouteur. Petit plus avec la finition métallique pour relier la partie écouteurs au câble ! Je préfère les écouteurs avec réglage du volume. L’apparence est également très belle, mes camarades de classe l’aiment aussi, la qualité sonore n’est pas mauvaise!</t>
  </si>
  <si>
    <t>Modèle différent Déçue car je n'ai pas reçu ce modèle mais des biberons transparents avec des fraises ! Hors je les avais choisi pour leur design ...</t>
  </si>
  <si>
    <t>Pas confortable Bonjour Pas confortable je souhaiterais me faire rembourser</t>
  </si>
  <si>
    <t>Cool Dommage pour la taille il était vraiment beau et très sympa</t>
  </si>
  <si>
    <t>Levis classic Taille petit !!!</t>
  </si>
  <si>
    <t>Sachet très praty Classement</t>
  </si>
  <si>
    <t>Très bien Satisfait juste la sangle un peu petite sinon parfait et beaucoup de poches</t>
  </si>
  <si>
    <t>Moins épais que celles livrées avec la machine Très bien malgré l'épaisseur moins importante que celles livrées avec la machine.</t>
  </si>
  <si>
    <t>conforme produit conforme aux attentes. par contre la taille est identique au format non xl, ce qui montre bien l'arnaque sur ces consommables qui ne sont remplis qu'à la moitié de leur contenance pour un prix outrageusement élevé...</t>
  </si>
  <si>
    <t>Montre fonctionnelle. Je recommande cette montre solaire et radio controlée.Matériel fiable utilisé en mer.J'ai changé le bracelet pour lui mette un bracelet  nylon plus confortable touvé sur internet.Je recommande</t>
  </si>
  <si>
    <t>Cadeau très apprécié par le destinataire. Cadeau très apprécié par le destinataire.</t>
  </si>
  <si>
    <t>Brosse nickel Elle est parfaite comme brosse</t>
  </si>
  <si>
    <t>Très bonne qualité J'ai l'habitude de noter tous mes rendez vous et vraiment super, mais je l'ai acheté un peu grand</t>
  </si>
  <si>
    <t>Produit parfait pour bébé Madame l'utilise au quotidien et avec cela répond parfaitement à ces besoins. Le système en soi est ingénieux car on peux enboiter ou pas les socles selon la quantité de produit à stériliser. En moins de 10min, tout est propre. Pour être objectif, madame a aussi nettoyer les tétines et biberons sans à l'ancienne et elle ressent une différence de propreté. Avantage à ce produit Avent que l'on utilise depuis plus de 3 mois sans souci. [Si ce commentaire vous a été utile, n'hésitez pas à le signaler ci dessous. ]</t>
  </si>
  <si>
    <t>Top Livraison plus tôt que prévu ! Colis très très bien emballé et produit conforme à la photo Je recommande</t>
  </si>
  <si>
    <t>Très bon produit Bouilloire de très bonne qualité. Elle chauffe rapidement et permet de maintenir l'eau à la température souhaitée. En plus, c'est joli et fait son petit effet sur la table. (Y)</t>
  </si>
  <si>
    <t>Super Coupe parfaite,  ne sert pas au niveau de la taille, agréable à porter et jolie couleur</t>
  </si>
  <si>
    <t>A offrir Je l'ai offert à l'occasion d'un anniversaire pour ma nièce et en elle est très heureuse. Permets de retrouver les pays et un stylo est fourni avec.</t>
  </si>
  <si>
    <t>Parfait Très cher tout de même, mais effectivement tout convient, la qualité est au rendez-vous. Il taille bien est son maintien est super !</t>
  </si>
  <si>
    <t>Parfait Pratique Indispensable pour les mamans Facile à monter Facile à nettoyer</t>
  </si>
  <si>
    <t>Les pieds dans le confort. Ce ne sont pas mes premières Yuedge,  rando, vélo et en plus quel confort de les porter, surtout dans les chaussures de sécurités.</t>
  </si>
  <si>
    <t>le son se sent cool C'est en très bon qualité? Très confortable, vous pouvez changer de truc s'il ne vous convient pas. Le son se sent doucement et pas de bruit. Le couleur est noir, c'est classique. Et le venduer m'offre la coque. c'est bien et celle-ci peut protéger mes évouteurs. J'avoue.</t>
  </si>
  <si>
    <t>Chic et élégant ! Acheté pour offrir, ce bracelet est superbe.  Il est livré dans une boîte et protégé sous un film plastique (a retirer évidement) prêt à offrir.  La couleur passe du violet au bleu avec plus ou moins de transparence et de brillance en fonction de la luminosité.  Le bracelet est fin mais à l air solide. Il est réglable grâce à une petite chaînette lui permettant de s adapter au poignet (attention tout de même au poignet trop large, car malgré la chaînette, il faudrait écarter les parties «&amp;nbsp;rigides&amp;nbsp;» pour passer, pas sure qu’il soit extensible à souhait).  Les «&amp;nbsp;diamants&amp;nbsp;», bien que faux, font leur effet. Il fait chic sans faire trop bling bling. Il peut s’offrir à des femmes de tout âge et se mettre à tout type d occasion.  Livraison très rapide grâce à prime, malgré les fêtes de Noël.  Vous l’aurez compris, je suis très satisfaite de ce bracelet acheté en vente flash de surcroit, un super rapport qualité prix ! A voir avec le temps (je modifierai mon commentaire si besoin).  En espérant vous avoir été utile☺️</t>
  </si>
  <si>
    <t>Rien à dire. Excellent produit ! Parfaitement adapté pour les séances de sport et confortable. Je recommande mais attention à ceux qui cherchent des écouteurs discrets... en effet ceux-ci sont bien plus gros que les écouteurs Jabra élite sport (qui déjà sont assez conséquents en terme de diamètre), il ne s’agit là que d’une question d’esthétique biensur mais j’estime qu’au vu du prix c’est une information qu’il vaut mieux connaître. Sinon le son est parfait...tout simplement Bose quoi !</t>
  </si>
  <si>
    <t>Produit neuf bien emballé livraison rapide Pas de douleur lors de longue écoute Bon son pour un casque à 15euros en promotion j avais un LG impossible à retrouver la même qualité de son pour ce type de prix donc super casque se règle bien produit neuf bien emballé</t>
  </si>
  <si>
    <t>Super matière Super à porter avec un jean</t>
  </si>
  <si>
    <t>Déçu Qualité de tissu médiocre.</t>
  </si>
  <si>
    <t>Produit incomplet Seulement trois biberon et non quatre comme indiqué et aucune brosse reçu !!</t>
  </si>
  <si>
    <t>Glissantes J'attendais plus de la marque crocs, les tong son jolies mais dès que l'on a les pieds mouillés elles sont très glissante, acheter pour sortir de la piscine, et bien elles sont dangereuses les pieds glisses à l'interieur de la tong et du coup on risque la chutte. Il faut faire très attention avec ces tongs.</t>
  </si>
  <si>
    <t>Pour le prix ca va Petite coupure sur l'avant de la chassure genant mais pas si grave. Chaussure un peut rigide. Livrè en heure ok</t>
  </si>
  <si>
    <t>Super Sac super pratique avec plein de poche. Y a rien a redire dessus</t>
  </si>
  <si>
    <t>Ok Ras</t>
  </si>
  <si>
    <t>Article Il est bien</t>
  </si>
  <si>
    <t>le prix  livraison rapide bonne qualite ras</t>
  </si>
  <si>
    <t>Ravie, je recommande ces écouteurs. Écouteurs reçu dans les temps, packaging très design, bon son, pratique et agréable d'utilisation, parfait, très contente de mon achat, je recommande ces écouteurs</t>
  </si>
  <si>
    <t>Vendeur fiable, baskets géniales Le vendeur est fiable et expéditif avec les commandes. Les baskets sont arrivés en très peu de temps. Ce sont des vraies, originales.  Par contre attention! Les modèles adidas chaussent petit. Alors choisissez une, voire une pointure et 1/3 de plus de ce que vous chaussez d'habitude pour être bien.</t>
  </si>
  <si>
    <t>Irremplaçable Voilà des années que je l'utilise avec bonheur et pas seulement pour le linge des enfants. Ce produit est idéal pour détacher le linge. Une poignée dans une bassine, ajouter de l'eau un peu chaude pour faire fondre le savon et faire tremper le linge taché. Mon petit truc j'ajoute une goutte d'essence de lavande. J'utilise ensuite la "sauce" en machine et le linge est éclatant avec une bonne odeur de savon qui n'a rien à voir avec l'odeur chimique de désinfectant que l'on retrouve dans certaines lessives au savon dit de Marseille!</t>
  </si>
  <si>
    <t>TRES BIEN ET PAS BRUILLANT J'ai commandé ce diffuseur d'arômes pour le bureau. La livraison est arrivée rapidement et emballée en toute sécurité. Il y a à côté du diffuseur une petite tasse à mesurer, une brosse de nettoyage et le cordon d'alimentation emballés dans l'appareil. Le diffuseur est en plastique aspect bois, donc très facile à nettoyer. L'appareil fonctionne silencieusement, a un arrêt automatique entre 1 et 3 heures ou un fonctionnement continu. Les LED encastrées changent de couleur. Je suis satisfait et peux maintenant apporter un parfum et une humeur agréables à mon bureau.</t>
  </si>
  <si>
    <t>casio un jour... casio pour toujours Très belle montre. Elle est encore d'actualité en 2016 ! Pour le prix je vous la recommande ! Je ne suis pas déçu</t>
  </si>
  <si>
    <t>Pratique Super pratique pour faire sécher les biberons ma copine en est super contente.</t>
  </si>
  <si>
    <t>montre correspondant à mes attentes connaitre l'altitude et l'évolution de la météo en montagne et dans des pays étrangers, cette montre est relativement légère les réglages après quelques tâtonnements est relativement intuitive.</t>
  </si>
  <si>
    <t>A acheter sans hésiter ! Au top ! Le format est nickel, la qualité au rendez-vous. Je conseille sans hésiter. La livraison a été aussi très rapide.</t>
  </si>
  <si>
    <t>Bon son! Écouteurs de bonne qualité et avec un son d'enfer!!! Très utile pour passer les appel et tient bien dans l'oreille. Le tactile de l'oreillette fonctionne très bien.</t>
  </si>
  <si>
    <t>TRES BON PRODUIT vraiment adapté a celles qui ne supportent plus les soutien gorge classique c est un lot que commande pour une amie qui les a vu chez moi ,une petite brassière bien confortable et super prix 15,99 les trois,,,</t>
  </si>
  <si>
    <t>Nickel Bonne qualité</t>
  </si>
  <si>
    <t>Bon produit Il est arrivé dans les temps, ma fille était très contente, il est de bonne qualité et le prix est abordable donc satisfaite!</t>
  </si>
  <si>
    <t>Bon prix Elles sont bien</t>
  </si>
  <si>
    <t>Bonne Qualité Bonne qualité</t>
  </si>
  <si>
    <t>Déçu par Amazon Je l ai reçu rapidement mais très déçu il fallait une prise américaine il était pas français Amazon aurait du le préciser dans les commentaires</t>
  </si>
  <si>
    <t>Carastrophique... Commander pour offrir...  Et surprise !! Il manque un diamant...  Alors imaginez ma tête quand la personne à ouvert mon cadeau...  Le diamant n'est même pas dans la boîte..</t>
  </si>
  <si>
    <t>mauvaise qualité à la  réception  un  accroc  et  2 mn aprés  un gros trou dans  la  chaussette  direction  poubelle  pas  fiable du  tout  dans  la  durée je  regrette de ne pas  avoir  pris  la  photo  !!</t>
  </si>
  <si>
    <t>Ok Un peu plus petit de ce que je croyais et un bouton de fermeture qui ne marche pas . Sinon ça va.</t>
  </si>
  <si>
    <t>assez bon casque J'ai acheté ce casque pour le boulot et l'avion. A ce jour je n'ai pas encore eu l'occasion de le tester dans ces deux conditions mais je me suis amusé à faire quelques tests. Par exemple avec la hotte de la cuisine allumé... Réduction de bruit désactivée, on l'entend, réduction de bruit activée, on l'entend plus... C'est perturbant au début mais on s'y fait vite. Au niveau de la qualité de son, n'étant pas un mélomane, je ne peux pas vraiment juger, le seul point que je peux soulever est le suivant : les basses sont très présentes certain morceaux en deviennent un peu douloureux et désagréables. Peut être faut t'il faire un réglage sur l'équalizer du téléphone?  A voir dans le temps. Je mettrais à jour au fur et à mesure.</t>
  </si>
  <si>
    <t>Soutien gorge Je suis déçu</t>
  </si>
  <si>
    <t>Incroyable Wouaaaaaaaaah ! Ce design est si beau, la montre est fine bref là-dessus rien à redire. L’écran est incroyable, l’AMO LED est très lumineux et lisible en toutes circonstances. L’expérience wear OS est vraiment bonne et complète et personnellement j'aime beaucoup cette OS. Au niveau de la puissance s'est mitigé: défois elle est très fluide et lance les applications très rapidement et défois elle lag un peu mais globalement ça ne dérange pas l’expérience utilisateur. L’autonomie est médiocre mais personnellement ça me dérange pas: je ne porte pas de montre lorsque je mange du coup j’en profite pour la charger. Sinon on tient une journée complète en utilisation peu intensive et avec beaucoup d’option désactiver (comme le Gps....) et sinon ¾ d’une journée en utilisation intensive.&amp;nbsp;Le chargeur est raide mais j’aurais préféré un plus grand support afin que la montre ne glisse pas. L’écrin est beau sans être exceptionnel. Le bracelet en cuir est le plus beau que j’ai vu jusqu'à aujourd’hui (je ne suis pas un expert dans le domaine). Je recommande vraiment d’avoir une smart Watch et si ce n’est pas celle-là c’est un objet dont je ne peux plus me passer.</t>
  </si>
  <si>
    <t>Bouilloire rétro russel hobbs 21671 70 Très satisfaite,  belle bouilloire posée sur un plan de travail elle est  très décorative . Chauffe très vite, un plus pour la température,  je ne regrette pas mon achat.</t>
  </si>
  <si>
    <t>Pendentif un peu fade Je le trouvée très sympa pour le prix mais je trouve le pendentif un peu fade couleur qui ne ressort pas comme sur la photo ainsi que les petites pierres</t>
  </si>
  <si>
    <t>géniaux Bon, commen?ons par le négatif ... ce vendeur est plus cher que le site Wincase ... et c'est tout, service hyper rapide, en deux jours c'était chez moi. Pour les appareils ... ces trucs sont juste géniaux (et pas juste pour les Wincases addicts ), ils se connectent aux appareils (Wincase) sans aucune manipulation, on une super durée de batterie et le boitier fourni avec est une batterie d'appoint. Par rapport à toutes les autres copies (je sais je me suis fait avoir), pas de soucis de décalage voix/image ou un seul écouteur qui marche. Bref, ?a coute cher, mais niveau technologie, c'est incomparable.</t>
  </si>
  <si>
    <t>Super Parfait pour lait épaissi ! Mes enfants se sont tout de suite adaptés à ces tétines  et prennent beaucoup mieux  leurs biberons</t>
  </si>
  <si>
    <t>Tres bien Très pratique. Lanière solide. Sac solide et beau. Plusieurs pochette. Intérieur suffisament grand.  Pas déçu de cette achat est très pratique pour des voyages avec la place pour un ordinateur est des livres.</t>
  </si>
  <si>
    <t>Bonne qualité Produit bien coupé agréable à porter couleur conforme et taille M pour mon 38/40</t>
  </si>
  <si>
    <t>Le cadeau d'anniversaire de mon père! J'ai acheté ce produit pour l'anniversaire de mon père, la qualité de la montre est incroyable pour son prix. La montre est très élégante, la taille est très bonne et se sent vraiment à l'aise lorsqu'elle est portée. Mon père adore ça.</t>
  </si>
  <si>
    <t>Très satisfait Elles sont génial</t>
  </si>
  <si>
    <t>Indémodable modele Indemodable modèle. Multigenerationnel Très confortable, à la fois vintage et actuel. Pointure confirme. Demande un minimum d entretien. Ravie de cet achzt</t>
  </si>
  <si>
    <t>bien. pas du cuir mais bon produit.</t>
  </si>
  <si>
    <t>bonne qualité Très confortables et très légères.</t>
  </si>
  <si>
    <t>Ouaou ! Casque facilement transportable, assez confortable une fois porté. Je ne constate pas de douleur aux oreilles même porté trois heures de suite, c'est très rare</t>
  </si>
  <si>
    <t>BIEN BIEN</t>
  </si>
  <si>
    <t>Montre qui convient à tout le monde, très classe J'ai acheté cette montre pour offrir à mon copain. Il a adoré ! Elle est arrivée en avance et sans problème particulier (rayures ou autres...)</t>
  </si>
  <si>
    <t>plus rapide que son ombre livraison ultra rapide avant même la date prévue, et produit conforme à celui que j'utilise depuis des lustres; Cerise sur le gâteau, le prix, doux comme le temps  d'aujourd'hui.</t>
  </si>
  <si>
    <t>Confortable et pratique! Très confortable avec les semelles à mémoire de forme et pratique! Je suis une adepte des Sketchers et ne pourrais plus m’en passer! Elle offre une bonne tenue malgré l’absence de lacet. Je les ai mises durant une année, pratiquement tous les jours et elle s’use lentement. Seul défaut que j’ai eu, de même avec une autre paire, est le tissus intérieur situé derrière le talon qui s’abîme et ça devient douloureux car frotte. Mais vu l’utilisation, ça parait normal qu’il y ait une usure. Je recommande!!</t>
  </si>
  <si>
    <t>Produit moyen. Un peu deçu de cet achat. Reçu dans les delais. Bluetooth Ok. Mais Son faible. Pour s'écouter parler ou chanter, on est obligé de coller la bouche au micro... très désagreable quand durant un anniversaire par exemple, 6 enfants essayent d'utiliser l'appareil à tour de rôle.</t>
  </si>
  <si>
    <t>PAS POUR LES CARTONS ! Acheté pour emballer des cartons  Ne colle pas bien,  je ne recommande pas</t>
  </si>
  <si>
    <t>Ça ne plaît pas à tout le monde Livre reçu par ma fille de 9ans à noël, elle l a trouvé bizarre, pas vraiment de son âge. Je me suis inspiré des commentaires clients...déception totale de m être trompé. Pourquoi tu  as acheté  ça ?? Hum, malaise...</t>
  </si>
  <si>
    <t>Decue Joli produit sur la photo mais qui fait un peu quincaillerie en réel. Utilisation moyenne les 3h de diffusion prigrammables ne durent pas plus que 2h. Parfois la luminosité aléatoire s'emballe par des clignotements rapides. Par contre la diffusion des senteurs est parfaite. J'attend donc de voir si dans la durée ce diffuseur tiendra.</t>
  </si>
  <si>
    <t>très bon produit Mon bébé a direct pris le biberon MAM, on s'attendait a faire plusieurs marques mais la première a été bonne Seul point négatif : dommage que les graduation commencent a 60ml car c'est compliqué de voir la quantité que bébé n'a pas bu du coup, un marquage a partir de 20ml aurait été plus utile, surtout qu'il est très difficile de se rendre compte à l’œil du restant vu la complexité du biberon en bas (faut fond en caoutchouc)</t>
  </si>
  <si>
    <t>Rien à dire Rien à dire</t>
  </si>
  <si>
    <t>s'installent facilement simple à installer- fonctionne bien même si un message d'erreur apparait. par contre l'imprimante signale la cartouche vide mais on a l'impression qu'il reste un peu d'encre quand on secoue. Mais pour le prix j'avais déjà commandé et j'ai renouvelé car le rapport qualité prix reste très intéressant.</t>
  </si>
  <si>
    <t>Beau sweat Livraison dans les délais, veste de bonne qualité et de bonne tenue. Légère mais qui tient bien chaud, pour les aviateurs ou les autres .</t>
  </si>
  <si>
    <t>super nettoie très bien et j'adore l'odeur</t>
  </si>
  <si>
    <t>Au top ! Idéal pour le chant ou pour enregistrer des réunions. Idéal pour être bien entendu sur Skype ! J’apprécie la qualité de la marque donc je vais même prendre le Blue Microphones Raspberry.</t>
  </si>
  <si>
    <t>Très bien Bracelet très sympa, belle finition noire, il est facile de retirer des maillons grâce à l appareil fourni.</t>
  </si>
  <si>
    <t>Idéal Légères confortables et absolument modernes je les adore</t>
  </si>
  <si>
    <t>Genial Très satisfaits</t>
  </si>
  <si>
    <t>ok ok</t>
  </si>
  <si>
    <t>Trop belles!!!!! Super belles élégantes, elle se portent pour toutes les occasions aussi bien pour aller travailler que pour une après-midi shopping ou un dîner en amoureux 😍😍😍😍</t>
  </si>
  <si>
    <t>Bien Cadeau</t>
  </si>
  <si>
    <t>Trop beau Super</t>
  </si>
  <si>
    <t>Souple et confortable. J'Ai acheté  cette paire de baskets pour faire mon sport. Elles sont très confortable, souple et surtout très bon style à mon goût.</t>
  </si>
  <si>
    <t>Super Hyper pratique le seul inconvénient c’est la boîte est un peut grosse</t>
  </si>
  <si>
    <t>Parfait et bon prix Cadeau pour ma fille, exactement comme prévu. Parfait merci</t>
  </si>
  <si>
    <t>La qualité Très bon produit de très bonne qualité.</t>
  </si>
  <si>
    <t>Impeccable De bonnes manufacture, qualité impeccable, taille qui correspond. Je recommande</t>
  </si>
  <si>
    <t>Moins cher que dans le commerce et plus de sacs Dans le commerce ces sacs sont plus chers et il y en a que 8 par packaging! J'aime beaucoup ce produit, car les sacs sont ultra-resistants et ils ont des poignets qui permettent de pouvoir bien fermer les sacs au moment de les jeter.  Si ce commentaire vous parez utile merci de cliquer oui et pour plus de tests et de reviews visitez mon site, le lien est dans mon profil (site en anglais).</t>
  </si>
  <si>
    <t>Mais pas adapté pour le sport Se déchire très vite quand on utilise</t>
  </si>
  <si>
    <t>Mauvais M'a mis mon imprimante HP 3636 en panne. Il fut assez difficile de comprendre que l'imprimante refusait l'installation d'une cartouche HP d’origine à ce prix. Ai tâtonné durant 24 heures, le logiciel détectant une trace d'encre dans la cartouche noire. Ce n'est pas la première fois que j'aurai eu à changer une imprimante pour un défaut de conception de la cartouche HP. Panne volontaire? Panne involontaire? Obsolescence programmée?? Moralité que vous preniez des cartouchez d'origine ou ,pas, si ,la machine est programmée pour se mettre en panne rien n'y fera.Dans ce cas là une étoile est de TROP.</t>
  </si>
  <si>
    <t>confortable mais... J'ai pris ces sandales pour la piscine. Elles sont confortables, même si l'un d'elle glisse un peu sur le côté une fois mouillée. Mais le plus gros souci est le temps de séchage...Plusieurs heures sont nécessaires avant qu'elles ne soient suffisamment sèches pour pouvoir être rangées. Bien dommage et peu pratique!</t>
  </si>
  <si>
    <t>Trés correcte Les soundcore Liberty Air sont très correcte, elles se rapproche des airpods originaux. La boite contenant les écouteurs est esthétique et indique la charge. la tenue est bonne même dans la pratique d'un sport, il faut un peu de pratique pour passer d'un morceau à un autre, commande vocal etc. Attention, il n'y a pas de commande pour monter ou descendre le volume.</t>
  </si>
  <si>
    <t>Assez bon produit Un peu bruyante</t>
  </si>
  <si>
    <t>Très bien Je l'utilise pour écouter la radio dans toute la maison avec une bonne qualité de son, même à travers des murs épais. Jusque 50 m à l'extérieur.</t>
  </si>
  <si>
    <t>Parfaites et canons Parfait, elles sont canons et achetées en promo, une merveille :) très contente</t>
  </si>
  <si>
    <t>parfaite le coton est agréable - elles sont assez épaisses, trés bonne qualité</t>
  </si>
  <si>
    <t>LE PRIX MERCI J'AIME</t>
  </si>
  <si>
    <t>J'adore Matière très agréable !</t>
  </si>
  <si>
    <t>Gilet Gilet bien épais</t>
  </si>
  <si>
    <t>Des boots vraiment élégante et agréables à porter J'ai pris une taille au dessus de la mienne en rapport avec les commentaires des autres acheteurs et effectivement, elles taillent petit donc c'est parfait. Les chaussures sont élégantes, fines et très agréables à porter. Je ne les recommanldes pas pour une personne avec des pieds "épais" les miens sont fins et ça serre quand même. Par contre elles sont comme des chaussons! Je ne regrette pas mon achat, première fois que je prends de cette marque, je suis ravie.</t>
  </si>
  <si>
    <t>Je recommande une taille au dessus Très belle ! Je recommande une taille au dessus ex : je fais du 37 j’ai pris du 37 et demi</t>
  </si>
  <si>
    <t>Mon commentaire pour  étiqueteuse DYMO Label Manager 160 Je suis vraiment satisfait de mon achat. Cette étiqueteuse est très facile d'emploi et très complète. Lire quand même le mode d'emploi rapide livré avec la machine et mieux, aller sur Google pour avoir le mode d'emploi complet et en FRANCAIS en PDF que vous pouvez imprimer. Après cela, pas de problème, vous faites ce que vous voulez pour accéder aux diverses fonctions. Le clavier AZERTY est vraiment pratique et les touches en matière souple sont un plus, agréable à l'emploi. Ne pas oublier d'acheter 6 piles AAA, elles ne sont pas incluses avec la machine. Je recommande cet achat.</t>
  </si>
  <si>
    <t>Efficaces rapidement J étais infesté de mite dans la maison grâce à se produit plus rien même pas une seul c est vraiment très efficace</t>
  </si>
  <si>
    <t>Je le conseille @ J’adore parfait 👍👍👍</t>
  </si>
  <si>
    <t>exactement comme sur le descriptif Tres facile d'utilisation parfait qualité au top</t>
  </si>
  <si>
    <t>Tres belle montre Top top top superbe montre emballage nickel tres content de mon acquisition Un peu compliqué pour le réglage mais heureusement la notice de la montre est très bien faite</t>
  </si>
  <si>
    <t>Nickel Belle casquette, je voulais une casquette assez discrète avec une belle forme et celle ci est parfait. La visière est bien rigide, le tissu est bien et la couleur un beau bleu marine avec un p'tit logo "NY" discret mais qui ressort et apporte le côté classe. Je suis très content de cet achat</t>
  </si>
  <si>
    <t>L’important c'est de savoir sans servir Très bon produit si l'on sait s'en servir, éviter les lavages court ou pas assez chaud et tout ce passera bien. Produit moins chimique et agressifs que les lessives habituel autant pour l'environnement que pour la peau.</t>
  </si>
  <si>
    <t>efficace et sans odeurs par contre 45 nuits faut oublier, j'ai passer un mois de vacances et j'en ais utiliser 2.</t>
  </si>
  <si>
    <t>Enchantée Produit conforme, livraison rapide.</t>
  </si>
  <si>
    <t>Pinceaux pas solide. Les paletttes sont bien, les pinceaux sont pas solides. Ils tiennent 2min à peine dans la main de mon fils. Dommage</t>
  </si>
  <si>
    <t>ARNAQUE MAXI !!!! Cette boule de soi-disant lavage est constituée d'une sphère en vulgaire plastique souple sans couvercle pour une dissémination lente du produit de lavage. Ce morceau de plastique souple ne vaut pas plus de 10 cts pour peu que l'on veuille à tout prix l'acheter. Payé 9.95€ il vaut mieux extruder une vieille balle de tennis!!</t>
  </si>
  <si>
    <t>Odeur effroyable Ces mouchoirs ont une horrible odeur de Poisson</t>
  </si>
  <si>
    <t>Vaut son prix A tenu 15 jours porte tout les jours  . Pour le prix il ne  fallait pas s'attendre à mieux quand même !</t>
  </si>
  <si>
    <t>Beau sac Produit issu du commerce équitable mais qui laisse une forte empreinte carbone (fabrication en Inde, entreprise italienne). Beau cuir, taille conforme à la description.</t>
  </si>
  <si>
    <t>Attention, chaussent  grand !! Boots de qualité, la couleur  de la photo est fidèle à la réalité, sur ce point vous n 'aurez pas de mauvaise surprise, mais attention à la pointure, ces bottines chaussent grand, je les avais commandé en 42 , je les ai retournées et rachetées en 41.</t>
  </si>
  <si>
    <t>Basket travail Achat pour le travail pris une taille au dessus de ma pointure es cela va très bien Basket confortable A voir sur la durée Très jolie design</t>
  </si>
  <si>
    <t>Dreadlocks sympa mais dès la 1ère utilisation le produit s'abîme</t>
  </si>
  <si>
    <t>Sympa pour mon ado ! Mon ado adore !!! Modèle très sympa et prix très correct. Les baskets ont été reçues rapidement. La qualité semble être au rendez-vous</t>
  </si>
  <si>
    <t>Belle et solide Jen suis tres content..</t>
  </si>
  <si>
    <t>ok bon rapport qualité prix, il faut acheter le biberon Natural et non Classic de Philips Avent sinon ça ne s'adaptera pas.</t>
  </si>
  <si>
    <t>Très bien Rien a dire de particulier fait ce que l on attend d une tétine à débit moyen. Trou quand meme petit j ai du a acheté le débit au desssus</t>
  </si>
  <si>
    <t>Top pour melanger les biberons Ce mixeur est utilisé depuis les 1 mois de mon fils pour mélanger ses biberons! Idéal pour les laits qui ont dû mal à se dissoudre</t>
  </si>
  <si>
    <t>Très bon produit La marque ne faillit pas à sa réputation. Excellent siège de massage. Matériaux de qualité et finitions parfaites. Il est très efficace et permet vraiment de cibler exactement le massage qu'on désire grâce à ses très nombreux modes de fonctionnement. Une séance de 15 minutes chaque soir, un régal avant d'aller dormir. Je recommande vivement.</t>
  </si>
  <si>
    <t>Nickel Très bien Livraison rapide</t>
  </si>
  <si>
    <t>Très satisfait de mon achat Très bon produit la qualité du son est parfaite la connexion bluetooth excellente sans interférences ni coupure les écouteurs sont très jolies point de vue esthétique . Vraiment satisfait de mon achat</t>
  </si>
  <si>
    <t>BROSSE PRATIQUE super brosse pour tableau blanc pratique pour les petites mains de ma petite fille je recommande ce produit bon achat</t>
  </si>
  <si>
    <t>pochette tour de cou beau sac mais trop grand pour moi ,bonne qualité et solide dommage qu'il ne me convienne je prendrais un autre mais plus petit</t>
  </si>
  <si>
    <t>Pratique Petite sacoche compacte, vraiment très pratique. Son design est sobre, noir avec une petite plaque métallique sur le devant, très masculin. La qualité est très bonne. Bien que petite, elle est constituée de trois poches zippées et une poche sur le devant. Les poches sont suffisamment larges pour y faire rentrer de petites choses, mon smartphone 6 pouces y rentre sans problème. Il y a également un porte stylo sur le côté. Deux sangles sont fournies pour permet de porter la sacoche en bandoulière ou autour de la taille. Mon mari fait du XXL et la sangle réglable réglée à la taille maximum est largement trop grande. Pratiquement toutes les morphologies peuvent donc convenir ! On peut aussi grâce au crochet de suspension attacher la sacoche à la ceinture.</t>
  </si>
  <si>
    <t>BON PRODUIT SPORT EN SALLE PRODUIT TRES BIEN ADAPTE</t>
  </si>
  <si>
    <t>super produit Livraison rapide produit conforme a la description! Je suis une adepte de ces biberons que ma fille, allaitée, prend sans difficulté!</t>
  </si>
  <si>
    <t>la nuit ok +</t>
  </si>
  <si>
    <t>Cartouche conforme à ce que l'on peut en attendre Cartouche conforme en regrettant de ne pas pouvoir utiliser des compatibles, beaucoup moins chère !</t>
  </si>
  <si>
    <t>Le top du top Juste Wouahou ! Ils sont parfaits. Tant sur le prix que sur la qualité. Peu importe le lieu où vous êtes, vous pouvez écouter votre musique sans avoir les bruits environnants. S'adapte tres bien aux oreilles grâce aux 3 tailles d'embouts proposés. Se sont mes premiers écouteurs sans fil et franchement je ne regrette pas. Je recommande largement !</t>
  </si>
  <si>
    <t>produit excellent pour la création Je me sers de ce produit pour des créations de toutes sortes et j'adore le reflet métalisé, les couleurs et les mixages possibles ! je voudrais trouver au moins de 2 autres feutres métalisés blanc, car la tenue est extraordinaire pour moi, créatrice ! j'arrive à faire des mixages et mon travail sur le métal est positif, !  perso, je suis enchantée de cet achat,je le recommande et il y a une façon de tenir les feutres pour rendre les traits plus ou moins épais.</t>
  </si>
  <si>
    <t>Je ne recommande pas Le tissus gratte au bout de 10mn d’entrainement. Mon mari ne s’en sert plus.</t>
  </si>
  <si>
    <t>Loose back, perdu l'oreille en une journée! Les supports ne correspondaient pas et les boucles d'oreilles ont continué à tomber. J'ai essayé d'utiliser plusieurs types de supports que j'avais déjà, mais malheureusement, ces boucles d'oreilles ne pouvaient pas rester.</t>
  </si>
  <si>
    <t>bouche la tete d'impression ces cartouches sont compatible avec mon imprimante Pixma TS8000, mais bouchent la tete d'impression ce qui nécessite un nettoyage en profondeur avant chaque page a imprimer</t>
  </si>
  <si>
    <t>Ma seconde paire de checkers Je ne me souvenais pas qu'elles étaient aussi inconfortable au début... Ma première paire qui m'a tenu 2 ans m'a lâché (je les portais quasi tout le temps pour tout les jours, mêmes une fois trouée) Je ne sais pas si c'est le fait d'être passé au nike entre temps mais la semelle est pas la plus confortable et j'ai skaté avec une session et j'ai un peu beaucoup regretté... Bien pour la ville, à oublier pour les tricks</t>
  </si>
  <si>
    <t>Elle fait le job mais déçue par la capacité entre l’affichage et la réalité C’est marqué 1,7L mais en réalité on ne peut y mettre qu un litre à chauffer donc un peu déçue pour ça mais bon elle fait le job</t>
  </si>
  <si>
    <t>utile qualité moyenne+</t>
  </si>
  <si>
    <t>Montre Lige sport black &amp;amp; gold Très bon rapport qualité / prix / style .. très élégante au poignet</t>
  </si>
  <si>
    <t>Très bonnes chaussures de randonnée Très bonne tenue, résistantes et confortables C'est déjà ma 3eme paire de Columbia!</t>
  </si>
  <si>
    <t>un flocon très joli Un joli pendentif qui rend bien pour le prix que je l'ai payé (moins de 20€) Pour ma part je le porte sur une vraie chaîne en argent et il ne fait pas toc du tout, au contraire très contente de mon nouveau flocon</t>
  </si>
  <si>
    <t>utilité des huiles essentielles ! j'ai utilisé ce produit pour une rage de dent et  ça fonctionne .Une goutte sur un coton tige et on applique sur la dent et la gencive!</t>
  </si>
  <si>
    <t>Produits de qualité ! J'ai bien reçu mon produit sans problème, les bottes Aigle sont de bonne qualité. Par contre elle taille petite faite attention. En tout cas si vous cherchez des bottes de bonne qualité je vous les recommande. (Sachant que le prix n'est pas excessif pour des bottes de cette qualité.)</t>
  </si>
  <si>
    <t>Relaxation au top Génial! super produit de relaxation, livraison top et rapide ! je recommande ! zenatitude en vue!</t>
  </si>
  <si>
    <t>Top! Les new balance taille petit mais un confort une qualité au top</t>
  </si>
  <si>
    <t>Ce de la qualité Très performant au niveau du son et du volume et ce de la qualité au niveau du prix</t>
  </si>
  <si>
    <t>économique, pas de bavure ou de tache, effaçable un stylo tout en un qui se recharge très facilement et qui contient un effaceur. Il est très agréable d'écrire avec. Plus de fuite, d'encre partout, de bavure et à moindre cout. Je recommande vivement cette gamme dans toutes les couleurs.</t>
  </si>
  <si>
    <t>super super casque, bonne qualité audio, se plie facilement. Idéal pour budget limité. Mon ado de fils adore le bleu et ne se casse pas les oreilles avec des casques de mauvaise qualité, où on est obligés de mettre fort pour entendre les paroles.</t>
  </si>
  <si>
    <t>Très bon article Article à la hauteur de mes attentes</t>
  </si>
  <si>
    <t>Bon triplex Il fait se qu'on lui demande :)</t>
  </si>
  <si>
    <t>Nickel Dans les temps bonne taille</t>
  </si>
  <si>
    <t>conforme conforme au descriptif et bonne qualité</t>
  </si>
  <si>
    <t>Confortable et amplifié les sons Casque audio sans fil utilisé pour la tablette. Bien que celle ci ne soit pas d excellente qualité,le casque remédie au problème de son. Il est assez léger et confortable à porter.</t>
  </si>
  <si>
    <t>Nikel rien à dire arrivé en avance même Arrivé même en avance la taille est nikel j'ai pris du S/M et parfait normalement je fais du S et la couleur et bien juste petit bémol je croyais que le dessous était blanc mais enfaite il est beige mais rien de bien grave fin pour moi sur les photos on dirai blanc</t>
  </si>
  <si>
    <t>Une merveilleuse idée cadeau !!! Ce stérilisateur Babymoov turbo pure  se présente comme un arbre à biberon aménageable sous une cloche amovible qui permet de stériliser et/ou sécher jusqu’à 6 grands biberons ou des accessoires, un tire-lait etc. Cet appareil de fabrication française est garanti à vie après enregistrement sur le site... une excellente chose. Il suffit de remplir le petit réservoir d’eau et d’enclencher Le cycle pour voir les biberons être stérilisés 8 mn à 95 degrés , il faut par contre les nettoyer avant .. ce n’est pas un lave-vaisselle !!! Tout de même !! Une alarme vous prévient de la fin... l’appareil peut conserver les biberons ... il s’arrête Tout seul !!  J’ai particulièrement apprécié les buses qui vont jusqu’aux bouts des branches assurant l’accès de la  vapeur tout au fond des biberons retournés dessus... un excellent point.  L’appareil n’est pas tout petit mais quel gain de temps avec un nouveau né pour une jeune maman parfois un peu perdue... un cycle de 8 mn et on retrouve des biberons stériles ou un autre programmable au choix de 30 à 45 mn pour obtenir stériles et  secs!! Plus de soucis concernant la sécurité des nourrissons !!  Une mention très bien au filtre hépatite situé sous l’appareil garantissant une filtration de première qualité à l’air entrant ..  Son utilisation ne dure pas longtemps certes mais c’est un plus indéniable.  Avec 4 enfants, nous sommes rodés mais mon époux aurait apprécié cet appareil avec notre aîné tellement il était perdu et fatigué à son arrivée de la maternité !!   L’appareil n’est certes pas donné, mais l’investissement vaut le coup, au vu des services rendus et du temps gagné.  Une excellente idée cadeau !!!  Si cette évaluation a pu vous aider, likez, si bous aviez des questions, n’hesitez pas à les poser, merci.</t>
  </si>
  <si>
    <t>Couleur éclatantes Ce réveil est très bien pensé. La radio capte bien le son est bon et les différentes lumières sont très douces. J'adore mon nouveau réveil</t>
  </si>
  <si>
    <t>Bien mais ne fonctionne plus après 2 mois Après envriron 2 mois d'utilisation, la molette pour le son sur le casque ne fonctionne plus, elle tourne dans le vide, résultat, plus aucun son ne sort du casque, je ne sais plus quoi faire...</t>
  </si>
  <si>
    <t>C'est nul Mauvaise article</t>
  </si>
  <si>
    <t>Déçu Déçu par mon achat , cafetière bruyante et pas très stable , cet article ne mérite pas mieux qu'une étoile</t>
  </si>
  <si>
    <t>Consomme énormément d'essence.... Petite chaufferette bien pratique en hiver....</t>
  </si>
  <si>
    <t>Jolie tenue d’intérieur confortable, taille grand Grâce aux commentaires des acheteurs, j’ai commandé une taille au dessus, ce qui est parfait! Tenue d’intérieur confortable, je commande aussitôt dans un autre coloris.</t>
  </si>
  <si>
    <t>très beau produit Superbe lampe qui ravit un enfant. Elle semble de qualité et solide. 3 intensités de lumière pour la lecture et belles couleurs de veilleuse. Arrivée parfaitement emballée dans son carton et rapidement. Malheureusement, après 2 semaines d'utilisation, la prise a chauffé et la lampe a cramé. Belle déception, je renvois le produit. Suite à ce pb, le SAV vendeur a été très réactif, j'ai reçu rapidement un code pour avoir une nouvelle lampe gratuitement. Elle fonctionne parfaitement</t>
  </si>
  <si>
    <t>Bon rapport qualité prix mais pas de même qualité que celles d'origine J'ai acheté ces cartouches afin de remplacer celles d'origines qui étaient vides. Pour ce qui est de la longévité je n'ai pas encore assez de recul pour la juger.  Elles sont correctement reconnues mais la qualité de l'encre n'est pas comme celles d'origine, les couleurs sont moins vives, le résultat n'est pas le même. Bon ! après ce pack de cartouches coûte le prix d'une seule cartouche d'origine. Donc sa reste correcte pour le prix.  L'avantage c'est qu'il contient même le gris qui est assez rare dans les autres packs de substitution. Je suis donc moyennement satisfait de mon achat.  Si mon avis vous a été utile, n'hésitez pas à me le faire savoir en cliquant sur UTILE</t>
  </si>
  <si>
    <t>Très efficace Super adhérence pour fixer n'importe quoi au mur, un cadre de 2-3kg pour ma part. Mais poir le prix j'aurais aimé plus de longueur.</t>
  </si>
  <si>
    <t>CASIO J'ADORE Je recherchais ce produit depuis lontemps ( j'ai ai eu plusieurs , mais soit la bracelet cassait ( j'en ai fait mettre un autre ) , soit la pile était nase . . donc , plutôt que de "faire" réparer ( nouveau bracelet + nouvelle pile ) je m'en suis achetée une neuve : SUPER et j'ADORE</t>
  </si>
  <si>
    <t>Joli soutien-gorge de sport Les soutiens-gorge de sport vont bien et sont belle matière. Je dirais qu'il a un support léger à moyen en fonction de la taille de votre buste. J'achèterais encore.</t>
  </si>
  <si>
    <t>Excellent produit Excellent produit avec un ratio qualité-prix incroyable. Batterie qui dure super longtemps, bruits extérieurs réduits, bonne qualité de son. Je recommande à 100%</t>
  </si>
  <si>
    <t>produit conforme Prix similaire à celui de la grande pharmacie, bonne durabilité.</t>
  </si>
  <si>
    <t>Rapport qualité-prix Emballage très compact, montage facile, éclairage agréable grâce à ses différents modes de luminosité (convient à éclairage normal, lecture au coin du fauteuil...). Montant principal fin mais très design ! Très bon rapport qualité-prix, j'en suis heureux !</t>
  </si>
  <si>
    <t>Semainier de bonne taille 3 ans que je prends le même agenda, ni trop grand ni trop petit. Parfait!</t>
  </si>
  <si>
    <t>J'adore  Amazon Franchement  tooop jador Amazon</t>
  </si>
  <si>
    <t>Génial Legging génial pour faire du sport ou autres activités. Je l'ai mis la première fois pour aller faire de l'accrobranche et j'étais très à l'aise. Je fais du 42, j'ai donc commandé un legging Large et la taille était parfaite. Il y a aussi une petite poche de chaque coté pour pouvoir y mettre son telephone où baladeur. Le legging est juste top ! Je me recommande !!</t>
  </si>
  <si>
    <t>Cartouche authentique Cartouche d'origine HP, donc aucun problème de compatibilité ou même de message d'erreur sur l'imprimante. Je conseil de prendre 2 petite cartouche plutôt que 1 XL, car le prix est quasiment identique. L'avantage est d'avoir un tête d'impression neuve à chaque cartouche, et nous savons tous que l'encre de ces cartouches sèchent rapidement si on les utilisent que occasionnellement, donc avoir 2 petites cartouches à la place d'une seule grosse est vraiment un avantage.</t>
  </si>
  <si>
    <t>ça pique mais c'est chouette Je l'adore ... Je l'utilise pratiquement tous les jours. Je ne sais pas vraiment s'il y a des bienfaits ou non ... Je l'ai depuis plusieurs mois, mais j'aime m'allonger dessus. Dur de s'installer dessus en sous vêtements car ça pique, donc je mets un petits short. Je sens mon pouls battre dans mon dos, dans mon corps, puis une sensation de chaud et de bien-être. Je l'ai fait tester à des amis qui n'ont pas aimé car ça pique beaucoup et n'arrivent pas à rester que quelques secondes. Personnellement, je le pose sur mon lit et je m'allonge dessus 30 min par jour environ. Il me soulage surtout lorsque j'ai la migraine. Les piquants sont très durs, c'est du plastique. Ils me font une marque dans le dos et c'est rouge pendant quelques minutes après. Je n'ai pas essayé encore de le laver. Par contre j'ai des chats, et les poils aiment se coller sur le tissu ^^. Il y a une housse pour le rangement c'est pratique</t>
  </si>
  <si>
    <t>montre C'est presque un outil professionnel qui n'a aucune vocation à être remarqué. Il permet de se repérer dans le temps facilement avec une exactitude correcte. Des verres de dureté différente seraient appréciés pour le même modèle afin de limité les rayures</t>
  </si>
  <si>
    <t>Bon article J'ai acheté tout la collection du niveau 1. Ma fille adore, très facile à lire ! Je recommande.</t>
  </si>
  <si>
    <t>Taille correctement Super, taille parfaitement - Livraison le lendemain, emballage parfait dans boite vans.</t>
  </si>
  <si>
    <t>Pratique Il s abîmé  vite au niveau du fil pas solide à renforcer</t>
  </si>
  <si>
    <t>Décue :( La matière est agréable, la dentelle correspond bien à ce qu’on voit en photo. Par contre ce n’est ni plus ni moins qu’une brassière, les 2 bandes en dentelle à attacher n’ont aucun intérêt à part celui de devoir être attachés et faire perdre du temps. Ce n’est clairement pas une brassière de maintien pour le sport, il me servira tout au plus à tenir plus chaud qu’un soutien gorge en hiver... Les 2 coques sont super visibles sous le tissus, surtout comme j’ai pris la couleur blanche. Taille XXL impeccable pour du 105D par contre. Bref, c’est pas mal sous un t-shirt pour promener les chiens, mais pas plus...</t>
  </si>
  <si>
    <t>Couleur NON durable... en 1 mois à peine ! C'est écrit "couleur durable" pour la version "rose or" : malheureusement faux pour ma montre ! :( Reçue le 21 juin, la couleur rose disparaît déjà. Je travaille sur ordinateur toute la journée. J'imagine que c'est à cause du frottement du bracelet sur le bureau. Pour le reste, tout était conforme à mes attentes, j'étais totalement satisfaite (côté étanchéité, aucune idée car non testée). Vu les autres commentaires satisfaits, j'ignore si c'est un cas isolé... Du coup, je vais tester leur SAV.</t>
  </si>
  <si>
    <t>Pour les parents qui préfèrent les biberons en verre Commentaire d'une amie à qui j'ai offert ces biberons.  Niveau qualité rien à redire le biberon en verre est vraiment plus sympa et on ne retrouve pas de produits dangereux pour bébé, par contre le verre chauffe très vite dans le chauffe biberon donc il faut être plus vigilant.  La tétine est parfaite pour des bébés qui sont allaités ou en mixte, la forme est bien étudiée.  Comme la beaucoup de biberons ceux-ci bénéficient de l'option anti coliques un plus.  Enfin pour le nettoyage c'est le petit point négatif on passe plus de temps que sur des biberons classique qui passent au lave vaisselle.  Globalement un bon produit que je recommande pour les parents qui préfèrent les biberons en verre.  J'ai été plus convaincue par la marque MAM qui est vraiment pratique. les biberons passent aulave-vaisselle et se stérilisent au micro-ondes un méga gain de temps !</t>
  </si>
  <si>
    <t>Taille petit Cet Article Taille petit</t>
  </si>
  <si>
    <t>Trop beau Super jolie</t>
  </si>
  <si>
    <t>Plutôt chaussures de villes que de sport... Le revêtement sur la pointe du pied, à l’aspect cuir retourné et ça marque facilement avec la poussières. Mais j’y suis confortable pour la vie de tous les jours. Pour le sport intensif, la semelle semble un peu fine à mon goût.</t>
  </si>
  <si>
    <t>Très propre A la différence des autres boîtes diseuses qu'il faut bouger pour pouvoir les verser, sur celles ci chacune a une ouverture indépendante c'est pratique et plus hygiénique. A la longue les petits bouts de plastique se cassent mais cela n'est pas gênant.</t>
  </si>
  <si>
    <t>Ce pull est vraiment bien, a une seul exeption Ce pull est vraiment bien, a une seul exception, il est selon moi légèrement trop large en bas, mais au niveau des épaules et des pecs il est bien.</t>
  </si>
  <si>
    <t>C'est parfait Rien à dire, ça joue le role que ça doit jouer du coup pas de problème rien à dire il tient bien sur mon Rhode</t>
  </si>
  <si>
    <t>Parfait Je suis très satisfaite. Je les utilisé depuis plusieurs années, mais la problème était que dans les grandes surfaces ce produit n'est pas toujours disponible.</t>
  </si>
  <si>
    <t>Sweatshirt très jolis mon mari a été très content même qu'il a déjà mit et bien sur lessiver avant de le mettre</t>
  </si>
  <si>
    <t>Bonne qualité Je me suis servis de ce câble pour connecter des LEDs entre elles. Rien à redire, il remplit très bien sa fonction de câble.</t>
  </si>
  <si>
    <t>charme bijoux de beauté quelle féerie quelle brillance Magnifique</t>
  </si>
  <si>
    <t>Cadeaux pour un amis Jolie montre - mon amis fut ravi du cadeau</t>
  </si>
  <si>
    <t>Excellent Excellent</t>
  </si>
  <si>
    <t>Très efficace Fonctionne très bien, facile d'emploi. Je recommande</t>
  </si>
  <si>
    <t>nickel Très pratique, permet de donner des morceaux de fruits frais à bébé et le laisser grignoter en toute sécurité. le filet est très fin, aucun morceau ne passe, considérez cela plus comme un "distributeur de jus à mordiller" que comme un distributeur de morceaux de fruits. Donc super sécure. prévoir un "solide" bavoir par contre ! car bébé en mettra partout, mais le nôtre est réellement ravi !!! ;-)</t>
  </si>
  <si>
    <t>Qualité J'ai hésité à les prendre et finalement pas du tout déçu. La qualité du son est très bonne j'adore écouter ma musique avec. Le tactile est bien pensé, je peux mettre sur pause ou changer tout en continuant mon jogging. On peut aussi recharger sont téléphone avec le boitier en cas de secours. Petit plus le niveau de batterie s'affiche dessus et livrer avec une housse de rangement. Petit , discret et tiens bien a l'oreille.</t>
  </si>
  <si>
    <t>Joli et confortable  ! Leggings de sport , noir , avec des bandes parmes  et blanches . 83 % polyester et 17 % d' élasthanne , donc , très très confortable . Bien coupé , bien fini . sa taille est bien haute , il reste bien en place . Pas bougé ni au lavage , ni au sèche linge . Une petite poche pour les clés ou le tel . pour n 'importe quel sport . Adopté !</t>
  </si>
  <si>
    <t>qualité j'utilise les chaussons tous les jours, ils sont à la bonne taille et chauds. Je recommande</t>
  </si>
  <si>
    <t>Montre idéale ! Heure d'Eté ou d'Hiver automatique. Génial ! Pas besoin de remonter, pas besoin de pile car montre Solaire. Génial ! Esthétique avec lecture digitale ou analogique. Quoi de plus, franchement ? Je recommande vivement, et livraison rapide, en +.</t>
  </si>
  <si>
    <t>Beau produit Conception robuste comparé à mon ancienne "sans marque" un peu plus cher mais la qualité à un prix. La Base peut stocker le surplus du cordon d'alimentation ce qui évite que cela traine sur le plan de travail.  Bref je conseille cette bouilloire électrique sans soucis.</t>
  </si>
  <si>
    <t>diffuseur au top Le design du diffuseur de parfum Aroma d'Infinitoo est basé sur le look d'une dune de sable et ressemble à du bois sombre. Visuellement, il a l'air vraiment bien.  La mise en service est très facile. Connectez le diffuseur à la puissance, avec max. Remplissez 500 ml d’eau, ajoutez de l’arôme ou de l’huile de parfum au besoin, puis allumez.  Le diffuseur peut être utilisé pour une durée limitée ou en fonctionnement continu. Le commutateur correspondant est situé sur l'appareil. De même, vous pouvez choisir le diffuseur si vous souhaitez activer la lumière ambiante. Cela brille très agréablement en alternance dans 7 couleurs différentes ou vous recherchez une couleur permanente.  La vapeur sort en permanence d'une ouverture au sommet du diffuseur. Il est plaisant que le diffuseur soit vraiment très silencieux et que vous puissiez facilement l’utiliser dans la chambre à coucher.</t>
  </si>
  <si>
    <t>joli à l'extérieur, trop fragile à l'intérieur joli modèle , belle toile, bonne coupe, mais très déçue de la fragilité de la doublure intérieure au talon. Chaussures achetées  pour porter avec des tenues habillées. Très peu mises afin de les garder bien blanches et parfaites. Dès la 6 ou 8ème fois que je les ai mises, la doublure intérieure, talon droit, a laissé place à un gros trou. Depuis mon talon rape contre la toile plastifiée ...... BOF, TRES BOF !  déçue du produit et sceptique sur cette marque que je positionnais comme étant de bonne qualité.</t>
  </si>
  <si>
    <t>Vive internet j'aurais mieux fait d'aller en Chine à pied. Je ne peux pas mettre mieux étant donné que je n'ai rien reçu, super pour un anniversaire... Et après il demande une note ?</t>
  </si>
  <si>
    <t>La qualité Bonjour?  Jai recu la bouillard aujourd hui je viens  de la testé elle fuit!!!</t>
  </si>
  <si>
    <t>Jogging Très bond pour le joggings</t>
  </si>
  <si>
    <t>Conforme à la description Très jolie</t>
  </si>
  <si>
    <t>Pas de cuir C pas du cuir</t>
  </si>
  <si>
    <t>Bon achat conforme à la description Casque acheté pour jouer à la ps4? Contente de mon achat Pour la longévité je ne peux pas répondre car c’est un achat récent</t>
  </si>
  <si>
    <t>belle et douce lampe lampe acheté pour mon fils de 7 ans. il est ravi. de nombreuses possibilités en jouant sur le temps, la luminosité, le choix du son. Pas facile à comprendre dans un premier temps et nécessite un petit rodage pour comprendre comment modifier les paramètres. petit point négatif. le lever et coucher du soleil s'effectue par des changements de la luminosité et couleur à un moment donné selon les réglage et non une graduation douce. Un bon produit dans l'ensemble, je recommande</t>
  </si>
  <si>
    <t>top super pour le prix</t>
  </si>
  <si>
    <t>Conforme à la description Parfait très confortable</t>
  </si>
  <si>
    <t>un remarquable confort une semelle intérieure qui prend de suite la forme du pied lors de longues marches aucune contracture du mollet pas de douleur du tendon d'achjle quelque soit la déformation du sol le pied reste parfaitement tenu chaussure un peu chaude par très beau temps</t>
  </si>
  <si>
    <t>Super produit Très bon produit qualitatif le rendu est propre je regrette simplement la longueur du câble, qui relié à la manette est plutôt conséquent, et également le port USB juste à côté de la prise jack. Au delà de ça forcer de constater que la qualité est bonne avec un bon rendu des grave et aucune saturation des aigue. Il est également confortable bien qu'après une grosse session (3h) les oreilles ont juste chaud mais pas de douleur. Bref comme vue dans un article la qualité prix de ce casque est excellent.</t>
  </si>
  <si>
    <t>Confort Ces chaussettes sont très confortables. Il n'y pas de sensations de chaud et encore moins de froid. Elles sont douces.</t>
  </si>
  <si>
    <t>Merci Les ménages</t>
  </si>
  <si>
    <t>Bien Au top</t>
  </si>
  <si>
    <t>calculatrice pour le lycée Un des prix les plus bas. Calculatrice conseillée par le prof de math de ma fille de 2nde. Livraison rapide. Jusqu'au 30/09/18, il y a 10 euros de rembourser sur preuve d'achat. Amazon vous fourni de toute façon une facture d'office. Les ados n'étant pas précautionneux avec leur sac j'ai opté pour y ajouter une coque rigide un peu comme les portables ;)</t>
  </si>
  <si>
    <t>Très bon produit Je l’ai acheté pour ma maman et elle a complètement adhéré! Elle utilise le coussin le soir et s’endort même dessus! Très bon rapport qualité/prix</t>
  </si>
  <si>
    <t>NIKE AIR aucune galère !!!!! Design,confort et simplicité,je n'en demande pas plus pour une paire de chaussure qui à toujours su me montrer l'image que reflète la marque à mes yeux !</t>
  </si>
  <si>
    <t>Recommande Achèter pour premier bébé et juste très contente je recommande !</t>
  </si>
  <si>
    <t>parfait ! j'ai commandé 1 paire pour chacun de mes enfants et ils en semblent tres satisfait ! les couleurs et la forme correspondent à l'image du site ! Reçu en temps convenu.</t>
  </si>
  <si>
    <t>Bon produit ! Article de bonne qualite!  Le son est fluide et les oreillettes sont tres confortable !! Le systeme pr recharger est top et rapide !! Je suis ravie</t>
  </si>
  <si>
    <t>Cute ! Ma compagne a littéralement craqué sur ce superbe bijou fantaisie ! Il est livré dans un bel écrin bleu ciel qui change de ce qui peut se faire d'habitude et accompagné d'un petit chiffon microfibre de la même couleur.  Il dispose d'une chaine fine et réglable avec un maillon on ne peut plus classique. Il représente un Koala orné de nombreux cristaux brillants qui, je vous rassure est bien réussi. Il prend dans ses bras un superbe coeur bleu lui aussi avec de belles finitions.  Il s'agit bien évidemment d'un bijou fantaisie et non d'un bijou de luxe, soyez donc vigilant avec son utilisation (eau par exemple), au-delà de ça, pour son bon rapport qualité / prix et surtout pour son design inhabituel, je vous le recommande.  ■ Si vous avez trouvé mon commentaire utile, n'hésitez pas à cliquer sur OUI juste en dessous, ça fait toujours plaisir, merci ! :) ■</t>
  </si>
  <si>
    <t>Excellent Ben adapté produit conforme aux photos agréable à porter confortable seul petit bémol j'avais l'impression qu'un pied été plus grand que l'autre mais maintenant je trouve que ça va mieux un peu bizarre</t>
  </si>
  <si>
    <t>Casque de qualité Je viens de recevoir le casque ! Je me suis empressée de l’essayer ! Je suis vraiment très contente du casque ! Super son, on entend très bien. La couleur est très jolie. Il est léger et fonctionnel! De qualité! Je recommande !</t>
  </si>
  <si>
    <t>bof compliqué pour un enfant de  8  ans pour un adulte mon fils de 21 ans est le seul a comprendre les blagues je ne le recommande pas pour les 7 8 ans</t>
  </si>
  <si>
    <t>un mois et plus rien!! Voila trois semaines que nous avons reçu ce produit et l'éponge du bout s'est complètement explosée. il ne reste que les poils!! le petit embout pour les tétines reste cependant utile mais nous devons acheter un nouveau goupillon!! JE DECONSEILLE FORTEMENT.</t>
  </si>
  <si>
    <t>Déçu attention à la taille Bonjour produit de bonne qualité mais la taille ne correspond absolument absolument pas j’ai Commander un M qui doit faire un xl ou double xl vraiment déçu de cette achat prenez au loin de taille en dessous ...</t>
  </si>
  <si>
    <t>Yes Je suis heureuse de cette achat, mais trop tôt pour utilisation, donc reviendrai vers vous prochainement pour vous donner plus de renseignement.</t>
  </si>
  <si>
    <t>Bouilloire Bonne bouilloire</t>
  </si>
  <si>
    <t>douces devînrent ces rêves Elle fut ravie, délai de livraison nickel... MERCI!</t>
  </si>
  <si>
    <t>Nickel pour des impressions de "bureau" Soyons direct : nous ne l'utilisons pas pour des tirages photos. Juste pour du tout venant en mode familial : photocopies couleurs, impressions de documents noirs et couleurs... Ces cartouches compatibles sont amplement suffisantes pour notre usage et ne semble, pour l'heure, pas boucher les buses de notre imprimante Canon.</t>
  </si>
  <si>
    <t>Bon produit mon fils est ravi Pour le loisir plage. Très confortable mais quand il fait chaud on transpire beaucoup.</t>
  </si>
  <si>
    <t>Magnifique et ajustable Très joli produit, s'ajuste au poignet grâce à au fil élastique, petit ❤️ bien proportionné aux perles.  Un pochon en velours est même offert avec.  Je recommande</t>
  </si>
  <si>
    <t>Content Parfait, ça m'évite se chauffer toute la piece quand il fait froid et que je suis immobile devant mon pc avec les radiateur à l'autre bout de la pièce, Parcontre c'est horriblement chiant à nettoyer</t>
  </si>
  <si>
    <t>Bien Design conforme à nos attentes, livraison rapide, belle teinte de bleu à l’allumage Le couvercle n’est pas amovible un peu difficile à nettoyer, mais pas impossible tout de même! Le niveau sonore pourrait être amélioré.</t>
  </si>
  <si>
    <t>Très sympa Très belle découverte, mon fils de 5 ans à adoré ce livre plein d'humour et avec de jolis dessins. Du coup nous allons continuer la collection...</t>
  </si>
  <si>
    <t>parfait article conforme à la description. La taille à prendre est la taille habituelle. De bonne facture, à voir à l'usure mais rien à redire pour le moment.</t>
  </si>
  <si>
    <t>Bon produit Tres confortable</t>
  </si>
  <si>
    <t>Ras Conforme à la description.</t>
  </si>
  <si>
    <t>Parfait Article conforme à la description Matière très agréable Livraison rapide</t>
  </si>
  <si>
    <t>Couleur et velours tout se qui fait la mode cet hiver Pour le week end ou aller en salle de sport il est parfait.</t>
  </si>
  <si>
    <t>Les enregistrements sont de qualité! Je l'utilise en général pour retenir du vocabulaire ou enregistrer cours.La qualité du son est au top.l'appareil enregistre très bien tout type de moment que cela soit un concert ou une réunion. Une seule remarque quz je pourrai faire, c'est quand une grande foule chante en même temps, selon l'intensité ça peux être bruyant.</t>
  </si>
  <si>
    <t>Très utile en cas de colopathie fonctionnelle Etant atteint de ce problème depuis enfant, les seuls et uniques produits présentant un intérêt, sont l'argile verte, le charbon actif et les pro biotiques. L'évitement de certains aliments et les médicaments proposés par les laboratoires pharmaceutiques et les médecins ne sont d'aucune utilité. Tous ces produits, sont à prendre en cure de 2 à 4 semaines aussi souvent que nécessaire. Au bout de quelques temps, les symptômes diminues et les crises réapparaissent moins fréquemment, mais ne disparaissent pas totalement. Mais au moins, ces produits naturelles sans danger aident en attendant que la médecine trouve une ou des solutions à cette très désagréable maladie qui ne tue personne mais qui peut rendre la vie en société quasi inexistante dans les cas extrêmes.</t>
  </si>
  <si>
    <t>Nickel Nickel ma beaucoup aidé pour avoir des ports supplémentaires moi qui voulais rajouter 3 ventilos supplémentaire Be Quiet 120 mm</t>
  </si>
  <si>
    <t>Excellent produit Le cuir est très correct pour du made in china, le produit est bien agencé, la couleur est parfaite. A voir avec le temps, mais globalement je recommande ce produit.</t>
  </si>
  <si>
    <t>Belles doc martens !! Parfait, rien à dire.... Très content du produit....</t>
  </si>
  <si>
    <t>confortable sac parfait pour y loger un étui à lunette, un porte-monnaie un smartphone et 2 ou 3 papiers. la bandoulière est large et solide. petit moins si on veut chipoter, la pochette à rabat est peu accessible, elle est à réserver à des objets plats qu'on ne doit sortir que rarement, badge ou clef de voiture sans contact.</t>
  </si>
  <si>
    <t>Problème avec les tétines ! Assez déçue par cette marque pourtant reconnue. Comme l'autre commentaire, mon bébé prend toute la tétine dans sa bouche ce qui m'oblige à retenir le biberon en tirant un peu dessus ! (bébé de 7 mois, tétine débit 2) Franchement pas pratique ! De plus la tétine s'écrase complètement, l'air ne circule pas ce qui m'obligeait à retirer complètement le biberon de la bouche de mon bébé pour que l'appel d'air se refasse... Ça a fini sur un site de revente d'occasion !</t>
  </si>
  <si>
    <t>Bruit Fais trop de bruit on l'entend de très loin. Sinon le bracelet au bout de quelques jours il commençais à avoir des traces je me demande si c'est du vrai cuire</t>
  </si>
  <si>
    <t>Sympa Pas trés costaud a voir dans le temps. je ne conseille pas l'achat.</t>
  </si>
  <si>
    <t>. Chaud  mais  les coutures  ce craque  vite!!!!</t>
  </si>
  <si>
    <t>Taille grand Superbes baskets ! Mais elles ont  Tendance à faire des grands pieds  ... elles tailles grand</t>
  </si>
  <si>
    <t>Agenda semainier. très bien, je vais en recommander pour l'année 2019. Je peux tout noter...mais pas le mettre dans mon sac à main!!!trop grand.Mais c'était mon choix.</t>
  </si>
  <si>
    <t>Nickel Lot de chaussettes de sport "Dim" de bonne taille conforme et de bonne qualité.</t>
  </si>
  <si>
    <t>Tiens le frais longtemps J en commande tous les ans.. utilisation pour des migraines.. je les trouve plus fin que d habitude.. j espère tiendra dans le temps...</t>
  </si>
  <si>
    <t>Agréable chaussure Chaussure très souple et agréable,  taille exacte mais prend facilement l'eau en cas de pluie.</t>
  </si>
  <si>
    <t>J'adore ! Casque léger, sans fils avec une bonne autonomie. Le câble de recharge est assez long, et la qualité de son est sublime ! Les vibrations de casque sont très bien, ainsi que le logiciel pour activer et désactiver, modifier le son. Bon éclairage sur les côtés, petit bémol c'est que le son du microphone aurait pu être mieux pour ce prix, conclusion : Très bon casque.</t>
  </si>
  <si>
    <t>montre gousset très belle montre gousset vraiment pas chère et de bonnes qualités</t>
  </si>
  <si>
    <t>Excellent ! Après avoir testé le modèle trekz durant qlq semaines et l avoir renvoyé pour cause d inconfort, c est ce modèle depuis 2mois Et sa seule limite est son autonomie Je suis fan de ce casque Vraiment En voiture, en vélo, à pied ou simplement chez moi, je porte parfois le casque 8hr d affilée. Pas de gêne causée par les vibrations (raison du renvoi du trekz), oreillette parfaite en voiture, je pense que c est compatible avec la législation française vu que les 2 oreilles restent libres. J ai ainsi un bon autoradio en voiture et à pied. En vélo c est parfois plus compliqué avec le vent mais je préfère ne pas entendre parfois la musique 3 minutes qu'être coupé de l extérieur. La suppression des bruits est correct, mon interlocuteur ignore souvent que je suis en déplacement. L assistant google a un peu plus de mal mais rien de rédhibitoire. Je pensais ne mettre que 4 étoiles pour l exercice physique car avec casque vélo et lunettes, le casque audio bouge parfois mais cela serait vmt mépriser les qualités du produit. De l argent bien investi, testé même dans la douche. Le constructeur devrait mieux communiquer sur le contenu du packaging J ai reçu une pochette ventrale fort pratique et quasi étanche et surtout 2 câbles de recharge.  Je ne crains donc pas de me retrouver sans câble.</t>
  </si>
  <si>
    <t>Baskets au top Chaussure magnifique très confortable identique a l'image encore plus jolies en réalités, les chaussures taille normale prendre sa pointure habituel reçue en 3 jours une paires de lacets noires offertes je recommande ce vendeur sans hésitations</t>
  </si>
  <si>
    <t>Super! Super chaussures tout est comme prévu et parfait,  mais il a fallu courrir dans tous les sens pour les récupérer..</t>
  </si>
  <si>
    <t>UNE TRÈS BONNE BONNETTE Je rechercher une bonnette pour mon micro Eagletone UM30 depuis un certain temps je suis parti sur cette bonnette et j'en suis vraiment très content elle s'adapte parfaitement mon micro. Rien à redire, à ce prix là pourquoi ce priver</t>
  </si>
  <si>
    <t>bon rapport qualite prix bon produit, rapport qualite/ prix excellent . beau design, achete pour mon ado de 14 ans , le casque ne prend pas de place dans le sac a dos. je ne regrette pas mon achat . je recommande sans hesiter.</t>
  </si>
  <si>
    <t>Réveil avec lumière J'en avait acheté un qui ressemble mais un poil plus grand pour mon fils la semaine dernière mais ma fille de 3ans était jalouse du coup j'ai pris celui ci. Il est top et il y a beaucoup de fonctions : Réveil avec différents bruits, Radio FM, réveil avec lumière</t>
  </si>
  <si>
    <t>Confortable pull Très confortable et très bien dessiné jadore</t>
  </si>
  <si>
    <t>C'est miraculeux ! Après avoir lu des centaines de commentaires positifs, je me suis décidé à en acheter un. Je l'utilise 30 minutes par jour à la force 70. Mes douleurs aux genoux qui irradiaient tout le long du péroné et du fémur et qui m'empêchaient de dormir ont disparu en quelques jours. Je remarche vite et sans boiter. C'est miraculeux !</t>
  </si>
  <si>
    <t>Livraison rapide Livraison rapide Produit conforme Tres satisfaite</t>
  </si>
  <si>
    <t>Pratique et adaptables S'adaptent aux tires-lait Medela et à la tétine Calma. Solides, faciles à nettoyer. Pas de souci pour le lave-vaisselle et la stérilisation.</t>
  </si>
  <si>
    <t>Lingettes désinfectantes Achetées dans le programme' économisez en s'abonnant ' cela permet un lot de lingettes à bon rapport qualité-prix elles sont épaisses - sentent bon! et ppermettent des petits nettoyages ponctuels des toilettes notamment.</t>
  </si>
  <si>
    <t>Parfait Je suis très satisfaite, elle fait très bien son job ! Je fais beaucoup de créations et elle m'est donc très utile. Simple d'utilisation, tout est parfait pour moi !</t>
  </si>
  <si>
    <t>Fuite d'eau Après 10 mois d'utilisation quotidienne, la bouilloire fuit au niveau de la fenêtre :(</t>
  </si>
  <si>
    <t>Pas suffisamment durable Après 2 mois d'une utilisation normale et très satisfaisante, le chauffe-biberon ne fonctionne plus. Nous ne recommandonc pas ce produit.</t>
  </si>
  <si>
    <t>defectueux très déçu de l'achat pas en français et de plus se décharge rapidement ne tient pas plus de 20mn.Madame Rezolier</t>
  </si>
  <si>
    <t>Bien mais.. Utilisés dans une maison inhabitée, ils sont saturés en 1 semaine. Je dirais donc qu'ils sont efficaces en condition plus normale.</t>
  </si>
  <si>
    <t>collier Joli collier sans plus il fait quand même pas mal toc se qui est dommage. J'ai été surprise par sa légèreté. Les petites breloques du milieu n'est pas centré ça m'a perturbé, du coup, je me suis débrouillée pour la déplacer en rajoutant un anneau pour le recentrer. Ah et aussi il n'est pas aussi long que sur la photo. Ou alors la fille est très petite ou c'est moi qui est trop grande :p</t>
  </si>
  <si>
    <t>Bon produit, excellent SAV Rapport qualité/prix très bon. Le son est très bon pour cette gamme de prix. Le casque serre un peu la tête, ce qui fait un peu mal aux oreilles au bout d'un moment, mais sinon il est plutôt agréable à porter. J'ai trouvé le bouton d'activation fragile : le mien s'était cassé au bout d'un mois, mais le vendeur m'a rapidement contacté pour remplacer le produit défectueux. Excellente démarche de la part du service clients.</t>
  </si>
  <si>
    <t>Papier d'Arménie Produit déjà connu et utilisé régulièrement pour enlever les odeurs notamment dans les wc, que je ne trouve plus en magasin.</t>
  </si>
  <si>
    <t>Plutôt cool Je les ai depuis 2 jours donc je ne peux rien dire sur l'autonomie.  Niveau son, ça va... les basses ne sont pas corrects...domage. mais pour le prix, on a de bons ecouteurs avec un bon confort et du style. Et en plus, le support de chargement recharge ton portable. Je les recommande</t>
  </si>
  <si>
    <t>6 paires J’ai reçu 6 paires de chaussettes je n’avais pas vu je pensais qu’il y avait 3 paires mais dans la description du produit 6 paires sinon bonne qualité</t>
  </si>
  <si>
    <t>Super cadeau de naissance Coffret naissance comprenant 4 biberons, un goupillon et une tétine.  Il y a deux biberons de 125ml pour nouveaux nés avec tétines à débits lents et deux biberons verts de 260ml pour les laits premiers âges avec tétines à débit moyen.  Le goupillon est bien pratique et permet de laver les biberons et les tétines en enlevant les résidus de lait.  C'est un coffret vraiment sympa et très utile pour bien démarrer avec un nouveau né, le prix est raisonnable. Cela peut faire un cadeau de naissance pour une petite fille ou un petit garçon car les couleurs sont neutres.  Je suis très satisfaite et recommande.</t>
  </si>
  <si>
    <t>👍 Professionnel opérateur logistic</t>
  </si>
  <si>
    <t>piles bouton J'ai commandé ces piles pour des jouets de Noël et des petites bougies imitations bougies. Ces piles fonctionnent parfaitement et au prix indiqué c'est vraiment top. Je vous recommande ces piles et je donne 5 étoiles</t>
  </si>
  <si>
    <t>Basket de securite avec bout acier J ai commander les baskets noires en 37 pour le travail.taille impecable .je n ai aucune douleur avec je les porte 8heures.avec la chaleur d hier je n ai meme pas suer des pieds.elle ne sont pas lourde .pour l instant je suis contente.livraison rapide.je travail en grande surface .et je suis a l aise.je les recommande.</t>
  </si>
  <si>
    <t>Tennis Très bien, paire envoyée rapidement et dans une pochette bien pratique.. Mon dils adore et s’est enfin décidé à nouer seul ses lacets :-)</t>
  </si>
  <si>
    <t>Cartouches pour EPSON 325 XP Cartouches achetées pour une Epson 325 XP. Compatibles, Faciles à installer et très bonne qualité d’impression. 👍 parfait.</t>
  </si>
  <si>
    <t>Autonomie phénoménale Bien content de ce casque. Dommage qu'il n'y ait pas un système qui coupe le réducteur de bruit automatiquement car si on oublie de remettre le switch en position off lorsqu'on pose le casque il reste actif et vide la batterie. Heureusement comme la réduction de bruit, certes efficace dans les basses, est très moyenne en médium-aigu, je ne m'en sers pas. En utilisation normale l'autonomie est complètement impressionnante !</t>
  </si>
  <si>
    <t>Plug&amp;amp;play, ergonomique avec des fonctionnalités pratiques Reconnaissance par l'ordinateur immédiatement. On peut faire défiler les diapos, revenir en arrière, lancer le mode présentation ou afficher une page blanche. Le laser marche bien. Il faut prévoir 2 piles AAA.</t>
  </si>
  <si>
    <t>Grand QUO VADIS Bonjour ,  Toujours le même régal pour ma femme qui l'utise de manière pro.....toujours la même qualité de service pour s'épargner l'informatique , et recyclable au bout de quelques années......    Merci et BONNE ANNEE</t>
  </si>
  <si>
    <t>sweat shirt tres bon achat pour moi car simple et c est ce que j aime  en plus  couleur uni c parfait  je vais d ailleur en recommander</t>
  </si>
  <si>
    <t>A recommander J ai acheté ce produit pour ma femme qui en est très contente, elle s en sert pour le sport, les écouteurs tiennent très bien. Boite qui permet le chargement automatique et qui affiche le niveau de batterie ce qui permet d eviter de tomber à court de batterie.de plus, il est possible de charger son téléphone avec le boitier des écouteurs cr qui est très pratique.tres bon rapport qualité prix</t>
  </si>
  <si>
    <t>C'est qu'il va sur les montres connecté Samsung Cette bracelet est au top pour les montres Samsung s2 et s3 GRAND MERCI</t>
  </si>
  <si>
    <t>Impeccable Au top</t>
  </si>
  <si>
    <t>Super montre connectée J'adore, il s'agit de ma 2ieme montre connectée, très content, facile d'utilisation.</t>
  </si>
  <si>
    <t>👏 👏</t>
  </si>
  <si>
    <t>Bof Chaussures un peu trop petites elles me font donc mal aux pieds. Elles se sont abîmées très facilement aussi, notamment au niveau de la semelle</t>
  </si>
  <si>
    <t>non pour me chausser</t>
  </si>
  <si>
    <t>somthron trop fin se produit est trop fin pour moi je n'ai pas vu le coton dans ce produit  ce produit resemble a une feuille de cigarette</t>
  </si>
  <si>
    <t>Ecouteurs garantis? Bonjour je voulais savoir si les écouteurs étaient garantis  car souvent le son se coupe et pour écouter de la musique ce n est pas super.</t>
  </si>
  <si>
    <t>Pour les fans Le sweet est destiné à ma fille qui est fan du groupe. Pour moi, je le trouve un peu cher, mais à ce niveau, on ne peut plus juger... En terme de qualité du produit je le trouve à mon sens moyen, sans plus.</t>
  </si>
  <si>
    <t>Chauffe matelas Beurer Article ,correspond tout à fait à mes attentes (taille et qualité) A noter EXCELLENT SERVICE APRÈS VENTE D’Amazon et Électricité corner Je recommande</t>
  </si>
  <si>
    <t>Vintage is back Mieux que sur les photos, le bracelet parait fragile, pour le prix c'est bien pour une montre à 30€, livraison parfaite</t>
  </si>
  <si>
    <t>Confirme à mes attentes Chaussure légère et souple , plutôt pour un usage automne hiver car tient chaud , bon rapport qualité prix pour un usage uniquement marche et conduite</t>
  </si>
  <si>
    <t>A essayer. Filtre en fait l'enregistrement. Pas mal.</t>
  </si>
  <si>
    <t>inutilisable Commande arrivée avec rapidité. Sans problème, impression nickelle, reconnue de suite par mon imprimante qui est neuve. La deuxième fois que mes cartouches ont été à changer, je ne suis pas arrivée à remettre mon imprimante en route, j'ai dû racheter des cartouches d'origines, lorsqu'elles ont été vides j'ai a nouveau essayé les gohepi, même problème et voilà j'ai repris un pacte de cartouche d'origine mon imprimante est l'epson 255. Vu que je m'occupe d'une association nous imprimons beaucoup j'ai donc racheté une imprimante vieux modèle pour l'instant ça à l'air de fonctionner mais mes cartouches ne sont pas les mêmes ce sont des 16 j'ai donc dépensé beaucoup d'argent pour rien</t>
  </si>
  <si>
    <t>Boucle d oreille Je les ai acheté pour ma fille de 9ans, mais je les met aussi . Elles sont super jolies aussi bien pour un enfant que pour un adulte.</t>
  </si>
  <si>
    <t>excellent excellent produit comme toujours chez north face</t>
  </si>
  <si>
    <t>Lampe simulateur d'aube et de crepuscule J'avais acheté cette lampe pour moi à l'époque qui m'a énormément aidé les matins pour me reveiller en forme ou m'aider à mieux m'endormir . Tout est super réglable au niveau de ce avec quoi on veut se reveiller et le volume du son souhaité et simple d'utilisation.  J'avais acheté des lampes dans le même genre par la suite pour mes enfants qui malgré des commentaires positifs n'ont absolument jamais fonctionné sur leur réveil ni coucher.  J'ai décidé d'investir pour 2 nouvelles lampes pour chacun d'eux et depuis les réveils sont ultra simples, surtout pour mon grand qui avait beaucoup de mal à se reveiller et souvent de mauvaise humeur (9 ans). Depuis, c'est le premier levé et préparé, et de bonne humeur :) bref, un bonheur, je recommande +++</t>
  </si>
  <si>
    <t>Converse Article très satisfaisant, conforme à mon attente.  J'ai suivi les avis des clients en commandant une pointure de moins que ma taille et c 'est parfait !</t>
  </si>
  <si>
    <t>Très bien Rien à dire, la chaussure est parfaite. On peut la mettre à n'importe quelle occasion, pour de la randonnée ou juste à la ville, elle se porte avec tout.</t>
  </si>
  <si>
    <t>Bon produit Très bonne qualité et taille très bien. A porté avec un pantalon en pull long. Ou bien en robe avec un collant. Au top. Laver et passer au sèche linge ne bouge pas. Je recommande</t>
  </si>
  <si>
    <t>Pour le sport ou la ville tres beau joggings Belle qualité tissus très doux et souple aussi bien pour le sport  qu avec une tunique longue Apres essayage ce joggings est très convainquant</t>
  </si>
  <si>
    <t>Chaussure sécurité Super bien dedans</t>
  </si>
  <si>
    <t>Très bonne qualité Je m en sers pour alimenter des bandes de leds. C'est parfait. Très bonne qualité.</t>
  </si>
  <si>
    <t>On dirait des pantoufles!! Excellent produit. Comme des pantoufles!!! Attention prendre 1/2 pointure en Dessous</t>
  </si>
  <si>
    <t>Patch baume du tigre efficace contre les courbatures Patch baume du tigre parfait pour les douleurs musculaires. Cela colle bien sur la peau et chauffe suffisamment pour atténuer rapidement les courbatures.</t>
  </si>
  <si>
    <t>Très satisfaite Un produit de très bonne qualité très facile à utiliser  et l'arrondisseur d'angle très  utile pour que les petites ne se blesse pas avec les documents</t>
  </si>
  <si>
    <t>Essais concluants J'ai fait des essais sur un tissu très, très fin sur lequel je n'arrivais à rien avec une autre paire bien plus ancienne. Et là, coupe très nette, les ciseaux n'accrochent pas le tissu avec une très bonne prise en main, ce qui est un plus. Je n'ai pas encore essayé sur un tissu plus épais mais je pense que si on y arrive avec une cotonnade très fine, il ne devrait pas y avoir de problème. Enfin, les ciseaux sont arrivés le jour de livraison indiqué. Pour le moment, que du bonheur!</t>
  </si>
  <si>
    <t>Basique mais fait ce qu'on lui demande Si vous cherchez une paire d'écouteurs bluetooth pas chers, pour une utilisation occasionnelle c'est parfait. Je les ai acheté pour écouter de la musique à faible volume au bureau, de manière discrète.  Leur petite taille fait qu'ils passent inaperçus cheveux lâchés. Le son est correct, pas extraordinaire mais correct. Manque un peu de profondeur. Un peu de grésillement quand ils sont connectés et que rien n'est joué.  Confort ok, ils ne tombent pas du tout et se font oublier. Côté réduction du bruit c'est pas mal, ça me dérange beaucoup personnellement car du coup j'entends très fort les battements de mon cœur mais je ne m'en sers pas du tout en tant que bouchons donc bien :)  Pour le prix c'est très correct. Ceux à 50, 60 ou 120€ sont forcément surement mieux, mais on en a là pour son argent.</t>
  </si>
  <si>
    <t>Je regrette mon achat! Je connaissais déjà le principe et l'avais déjà testé. Mais là grosse déception... Après l'avoir chauffée, la bouillote ressort trempée! Donc vraiment pas terrible... L'humidité est très inconfortable.. Certe le prix était plus attractif que chez la concurrence mais du coup ça reste très cher pour un produit inutilisable! Bref passez votre chemin...</t>
  </si>
  <si>
    <t>Arnaque et abus Basket taille 35 alors que j avais commandé du 39 et elles sont arrivées noir je les avait commander rouge, honteux, c est de l arnaque..</t>
  </si>
  <si>
    <t>arrive casser très déçu</t>
  </si>
  <si>
    <t>Qualité moyen moins... Au début un peu difficile de les mettre en place ds l imprimante qui ne les reconnaît pas. obliger de forcer la mise en place.  L'encre est de qualité moyen moins. Les couleurs ne sont  pas aussi vive que la marque de l imprimante. Mais suffisant pour le bricolage et les dessins enfants. Pour le boulot je recommande de prendre meilleure qualité.</t>
  </si>
  <si>
    <t>trés bien très bien</t>
  </si>
  <si>
    <t>Bon casque Le son est plutôt bon mais il faut mettre le volume plus fort pour entendre. Je trouve qu'il fait mal aux oreilles au bout d'un certain temps d'écoute. Il n'isole pas beaucoup des bruits extérieurs, enfin ça dépend certainement du type d'environnement. Je le trouve quand même bien rapport qualité/prix. Livré rapidement.</t>
  </si>
  <si>
    <t>Trousse Eastpack noire Super trousse , juste un petit b-mol c’est qu’il manque la place pour environ 7 à 8 stylos . Ceci est dû au modèle qui n’est pas arrondi sur les côtes, sinon solidité et super fermeture , fidèle à la Marque Eastpack . Le prix est justifié. Rien a dire .</t>
  </si>
  <si>
    <t>Quelques petits défauts pas trop grave..... Reçu gratuitement pour être testé.... Je suis habitué à mettre des chaussons style "charentaises" depuis des années en période hivernale, donc j'ai testé ces pantoufles. Reçu dans un sac plastique avec les semelles légèrement déformées, d'une apparence pailletée un peu bizarre dans un premier temps....mais on oubli vite . La mise du pied dedans au premier abord est pas terrible car le pied a du mal à aller au fond, faut bien tirer, ça donne une impression d’étouffement du pied avec une pression gênante....qui disparaît après quelques heures. Pour l'aspect, les chaussons font large à mon gout par contre bien moelleux dedans et dessous. La semelle n'est pas trop épaisse, on sent rapidement si on marche sur un caillou ou même genre, mais elles sont bien antidérapante. Sur l’arrière de la pantoufle, il y a un petit rebord joli visuellement mais qui ne sert pas a grand chose, un rebord un peu plus haut ça aurait était beaucoup mieux. Pour ce qui est de la taille, je fais du 44/45 suivant les marques, j'ai pris la même taille disponible (44/45) et je trouve que c'est limite. Donc un produit testé gratuitement en 42/43 pour mon fils, j'ai commandé également une autre paire en 44/45 (payante) pour moi même. Les défauts à mon gout sur ce produit sont: - coté paillette....pas terrible mais différente version disponible - taille disponible uniquement par union de deux tailles - taille juste mais saut de deux taille si changement...... Pour le prix, ça reste dans la fourchette haute pour des pantoufles. A voir le temps que la semelle va durer avant de se déchirer en deux ou autres problèmes.</t>
  </si>
  <si>
    <t>Gégnal J'ai enfin franchi le pas… super expérience pour mon 1er écouteur sans fil. j'aime son  design … super qualité.  j'en suis ravie.  Merci Beaucoup.</t>
  </si>
  <si>
    <t>Appareil au fonctionnement satisfaisant pour le moment Casque acheté à la mi-février 2019 et testé depuis 3 semaines. Le fonctionnement est pour le moment satisfaisant (qualité du son, réduction du bruit). Fiabilité et qualité des batteries à voir avec le temps (je modifierai peut être l'évaluation présente). Possibilité de connexion filaire (j'ai acheté en parallèle un fil de 5 m pour une connexion à un téléviseur).</t>
  </si>
  <si>
    <t>EXCELLENT RAPPORT QUALITE PRIX je l'avais achetée sans conviction car c'était pour remplacer ma superbe DENON DL 103  que j'ai cassé  mais qui est devenue hors de prix(près de 300€) et là je suis bluffé  pour ce prix là une cellule à bobines mobiles  avec en plus un niveau de sortie suffisant  pour me permettre de supprimer le  pré  préampli  c'est dingue  et le son est excellent  surtout avec mes gravures directes japonaises et américaines  manque peut-être un tout petit peu de pêche par exemple les coups de talon dans "flamenco fever"  ou dans Oscar Peterson "we get request" les graves un peu moins pêchus par rapport à la DL103  mais en attendant que je gagne au loto c'est excellent quand même et pour 10 fois moins cher</t>
  </si>
  <si>
    <t>Merci ! Tout simplement merci pour la conception de ce coussin qui soulage grandement mon dos et ma nuque ! Je n'étais pas vraiment sûr du format à choisir et est opté pour ce modèle parce qu'il avait l'avantage d'être petit sans perdre en qualité. Je suis très satisfaite des massages qu'il procure, et à chaque fois que je sens quelques tension, il devient mon allié indispensable !</t>
  </si>
  <si>
    <t>bonne grandeur qui s'adapte au bracelet il devrait être tous de cette même taille cela serait idéal ...</t>
  </si>
  <si>
    <t>Qualité-prix au top ! Alors là franchement niveau qualité prix rien à dire je conseille ce produit vous pouvez l'acheter les yeux fermés cela fonctionne très bien dans nos TPE ;)</t>
  </si>
  <si>
    <t>Presse à briquette Tout simplement parfait. Je recommande de bien préparer le papier mâché pour qu'il vous fasse de magnifique briquette de papier compacte.</t>
  </si>
  <si>
    <t>Parfait ! Superbe cette bouilloire portative ! Génial pour l’emmener partout, dans son sac pour aller au boulot, en voiture, etc Livraison rapide, merci !</t>
  </si>
  <si>
    <t>Je recommande Très bon produit.</t>
  </si>
  <si>
    <t>Chaussures très confortable Un plaisir de les porter et de marcher et ou courir avec</t>
  </si>
  <si>
    <t>Bouilloire Très bon produit qui vous permettra de faire bouillir de l'eau très rapidement. Joli design, avec un bandeau de LED bleu quand en marche et qu'elle chauffe. Le verre est transparent, avec un grand contenance d’eau de 2L, l’affichage  clairement le niveau d'eau. Facile à utiliser, je recommande.</t>
  </si>
  <si>
    <t>Parfait ! Mes enfants adorent cette collection.Parfait!texte bien.</t>
  </si>
  <si>
    <t>Ecouteurs de bonne qualité Les écouteurs sont pratiques, donne un son de haute qualité. Ils tiennent bien. La charge est fiable et le design très beau. Le boitier est solide et ne prend pas de place. Je suis vraiment satisfaite de mes écouteurs. Je les recommande sans problème.</t>
  </si>
  <si>
    <t>Très bien Super ma fille est ravie belles perles</t>
  </si>
  <si>
    <t>Déçue par ce diffuseur. La lumière ne fonctionne pas correctement, l'appareil s'arrête seul alors qu'il a encore de l'eau et un faux contact au niveau des interrupteurs. Je suis déçue par ce diffuseur.</t>
  </si>
  <si>
    <t>ouverture difficile Il est dommage que ce sac soit aussi mal conçu car le matériel est correct et la couleur neutre mais jolie. Le problème réside dans les ouvertures par fermeture éclaires. Les poches ne s'ouvrent pas bien et il est difficile d'y insérer des choses dedans. Aussi la profondeur est assez restreinte, donc à part un petit portefeuille et un stylo, ce sac ne pourra contenir guère plus.</t>
  </si>
  <si>
    <t>joli modèle mais qui taille grand Malheureusement j'ai dû les renvoyer car bcp trop grand. Dommage.</t>
  </si>
  <si>
    <t>Bouilloire tout en inox J'utilise quotidiennement cette bouilloire pour préparer le thé, la tisane... Je l'ai choisie pour son prix, tres intéressant, son matériau de fabrication , l'inox, sa contenance, idéale qd nous sommes nombreux à la maison et son look, assorti à mon grille pain, ma cafetière.</t>
  </si>
  <si>
    <t>Jolie Elle sont jolie, souple. A voir si elle tiennent sur la durée</t>
  </si>
  <si>
    <t>Pratique Très classe pour une utilisation quotidienne</t>
  </si>
  <si>
    <t>Bon achat Très agréable, même si c'est vrai qu'il faut s'habituer les premières minutes (mais je pense que c'est pour tout masseur de pieds). Au niveau sonore, ça ne fait pas excessivement du bruit, donc pas besoin d'augmenter le son de la télé. Après une marche en talons toute la journée, c'est vraiment relaxant. Seul petit bémol, on sent à peine la chaleur, dommage.</t>
  </si>
  <si>
    <t>Nickel 👌 Super !  Très joli , se monte comme les bracelets originaux de chez apple 👍</t>
  </si>
  <si>
    <t>Bouilloire thermique Une bouilloire thermique adapté à moi. J'aime prendre du thé plusieurs fois dans la journée et surtout la nuit. Comme elle est thermique je n'ai pas besoin de chauffer l'eau constantement j'ai remarqué que l'eau reste tiède même le lendemain. Pas confirmer les litres mais 1 litre d'eau c'est sure. Le seule bémol c'est que quand la cafetière n'est pas rempli elle fait du bruit. Donc pas silencieuse🤔</t>
  </si>
  <si>
    <t>Parfait Produit parfait, arrivée dans les temps et très bonne qualité, taille impeccable.</t>
  </si>
  <si>
    <t>Bon achat Bon design</t>
  </si>
  <si>
    <t>achat chargeur prix et rapidité, tout nickel. et en plus ça fonctionne... sur le site de Bose j'en aurais eu pour 3 semaines et 10 fois plus cher.</t>
  </si>
  <si>
    <t>Très bon produit Acheté depuis 6 mois et utilisé tous les jours sans problème. Esthétique sympa avec ses led bleu mais le gros avantage, c'est quelle est en verre. Donc transparente ce qui permet de voir a quel point l'eau est très calcaire comparé à une bouilloire classique.  Donc une fois par mois, un peu de vinaigre blanc 15mn et elle est comme neuve.</t>
  </si>
  <si>
    <t>très bien belle montre, ça flatte, le bracelet est bon et joli, ressemble à un produit de marque bien plus cher. bref faites vous plaisir</t>
  </si>
  <si>
    <t>Impeccable Impeccable!!</t>
  </si>
  <si>
    <t>Agréables à porter Pour l été , elles sont top. Elles correspondent à mes goûts. Elles sont en plus confortables.</t>
  </si>
  <si>
    <t>Cadeaux Ceci était pour un cadeaux</t>
  </si>
  <si>
    <t>Bien Un peu grand pour moi (tour de tête 54cm). Il est très simple à brancher. Le son est vraiment impressionnant.</t>
  </si>
  <si>
    <t>Stérilisateur et chauffe biberons &lt;div id="video-block-R1WV7G9XK887SF"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id="14" preload="auto" src="https://images-eu.ssl-images-amazon.com/images/I/A1MZX2gcvOS.mp4" style="position: absolute; left: 0px; top: 0px; overflow: hidden; height: 1px; width: 1px;"&gt;&lt;/video&gt;&lt;/div&gt;&lt;div id="airy-slate-preload" style="background-color: rgb(0, 0, 0); background-image: url(&amp;quot;https://images-eu.ssl-images-amazon.com/images/I/818-3ey5d2S.png&amp;quot;);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center;"&gt;0:29&lt;/div&gt;&lt;div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2.43123%;"&gt;&lt;/div&gt;&lt;div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value="https://images-eu.ssl-images-amazon.com/images/I/A1MZX2gcvOS.mp4" class="video-url"&gt;&lt;input type="hidden" name="" value="https://images-eu.ssl-images-amazon.com/images/I/818-3ey5d2S.png" class="video-slate-img-url"&gt;&amp;nbsp;Cette appareil est destiné pour chauffer le biberon et stériliser, les biberons et sucettes. Il y a fonction chauffe lait à température normale et lait réfrigéré. Pour stérilisation des biberons et sucettes vous avez compartiment destiné à cette usage. Vous avez fonction stérilisation et séchage . Une fois la fonction est terminé, l’appareil ce met en mode veille. Vous avez le goblet doseur pour maître la quantité d’eau nécessaire pour l’usage de stérilisation et chauffage. Il faut vider l’appareil après chaque utilisation, et il faut pas maître les produits chimiques pour le nettoyage. Vous pouvais utiliser le vinaigre blanc ou acide citrique  pour enlevé le calcaire. Bon produit et surtout très pratique.</t>
  </si>
  <si>
    <t>RAVIE ! Quand on a un enfant en maternelle ou à l'école primaire et qu'ils demandent des boîtes de mouchoirs c'est idéal ! J'ai acheté ce lot l'année passée, à la fois pour l'école et pour la maison et je suis ravie. Ils sont parfait, épais, de très bonne qualité (tout comme l'essuie tout et le papier toilette de la même marque) Je recommande vivement face à toutes les autres marques !</t>
  </si>
  <si>
    <t>Veste Confortable Veste trop top ! Assez chaude et très confortable ! Je recommande</t>
  </si>
  <si>
    <t>Super ! Agréable chaussures de sport. Le ressentie est excellent. Pointure parfaite. Et de bonnes qualité. Bon sport!!! Livraison plus rapide qu'annoncée. Entièrement satisfait de cet achat. Je recommande.</t>
  </si>
  <si>
    <t>Impeccables Toujours la même bouille de super baskets... C'est vrai, elles taillent un poil petit (gros orteil un peu serré et cloque en fin de journée) mais pas au point de prendre la taille au dessus. Super allure, super couleur. Les TBS Opiace, c'est un standard. J'espère que celles-ci n'auront pas le même défaut que mes deux paires précédentes, dont la semelle externe avait fissuré d'un bout à l'autre au bout d'un an.</t>
  </si>
  <si>
    <t>Pantalon de jogging à utiliser en dehors de l'hiver, pas chaud du tout. La coupe est bonne.Le tissu est très léger. Je l'utiliserai au printemps. Pour le lavage vue la finesse , je suis sceptique sur la tenue??</t>
  </si>
  <si>
    <t>Ne sent rien même en doublant les doses. Habituellement je met 5 gouttes et ça fonctionne très bien, avec ce produit même avec 10 gouttes l'odeur est faible. Je ne conseille pas ce produit.</t>
  </si>
  <si>
    <t>Nettoyant semelle fer à repasser inefficace. J'ai suivi le mode d'emploi,complètement inefficace !!!!</t>
  </si>
  <si>
    <t>taille grand et pour du sport en salle Je ne vais pas retourné ces chaussures mais je vais acheter des semelles. si vous faites comme moi une taille 37 achetez du 36 car même avec des chaussettes, il y a une bonne taille en trop. Pour l'extérieur je les trouve un peu "légères" sans maintien. Elles sont souples et parfaites pour du sport en salle,</t>
  </si>
  <si>
    <t>Pas mal Bien comme le prix</t>
  </si>
  <si>
    <t>agréablement surpris ce casque m'a vraiment surpris , déjà niveau qualité de fabrication , il est plutôt bien fini tout est a sa place il n'y a pas de jeu entre les pièce et le plastique semble plutôt solide. mais le partie qui m'a bluffer , c'est le sont , on est certe les des casque haut de gamme a + de 200€ , mais pour sont prix il n'y a rien a redire , le sont conviendra a la majorité des gens. Et enfin pour ce qui est du confort tout vas bien le casque est super léger il tient bien en place sur la tète . bref je recommande ce casque.</t>
  </si>
  <si>
    <t>Top Très confortable rien à dire, quelques peluches après le premier lavage sinon RAS.</t>
  </si>
  <si>
    <t>Bon rapport qualité / prix Sympa pour le streetware</t>
  </si>
  <si>
    <t>Bouilloire Repond aux attentes</t>
  </si>
  <si>
    <t>Magnifique Montre Bel montre à la fois élégante et sportive，même si elle est assez légère.</t>
  </si>
  <si>
    <t>Le meilleur de tous! Ce détachant pour linge blanc est exceptionnel et est le seul qui a réussi à m'enlever une tache de vin sèche sur une chemise blanche en utilisant la procédure pour tache résistante. Bravo !</t>
  </si>
  <si>
    <t>Parfait Très jolies, bonne coupe, parfait</t>
  </si>
  <si>
    <t>Bon produit Conforme à la description. Très confortable.</t>
  </si>
  <si>
    <t>adidas Core18 Pantalon très bien, doux, chaud</t>
  </si>
  <si>
    <t>Très beau collier Anniversaire de ma mère</t>
  </si>
  <si>
    <t>Vive puma Je suis très ravi de mon achat j aime cette marque est cette on ai jamais déçu car côté qualité est top</t>
  </si>
  <si>
    <t>Du stock pour pas cher Avec 500 enveloppes, j'ai 3 ans de tranquilité! Enveloppe standard de bonne qualité</t>
  </si>
  <si>
    <t>Le top du top ! Ce tire lait à sauver mon allaitement déjà 2 mois d'utilisation ! Fait bien son travail, petit, pratique à transporter partout ! Je recommande vivement ce tire lait !!!</t>
  </si>
  <si>
    <t>Très joli travail . Très bonne qualité . Très belles finitions.</t>
  </si>
  <si>
    <t>Parfait Produit reçu rapidement et sans mauvaise surprise, très bien.</t>
  </si>
  <si>
    <t>A nouveau, excellents produit et service Je possèdais déjà, depuis un mois, le modèle similaire (1AER) avec cadran noir. Je dois dire que je trouve celle-ci (fonds bleu) extrêmement jolie : Ce fonds bleu est très classe, car discret et tirant vers le gris (la photo est un peu trompeuse). C'est un produit remarquable, que je porterai avec une tenue de loisirs, sachant que celle à cadran noir ira mieux, à mon goût, avec une tenue de ville. Merci, Amazon, pour le respect des délais de livraison annoncés, même en cette période de grève des transporteurs.</t>
  </si>
  <si>
    <t>Belle discrète et efficace Cette baguette magique est très stylée. Elle est très efficace avec ces différents modes de vibration que ma femme a su grandement apprécier. Dans sa petite pochette elle est méconnaissable et elle fait peu de bruit ce qui évite de réveiller ceux qui dorment dans les chambres annexes. Nous la recommandons.</t>
  </si>
  <si>
    <t>Belle montre La montre que j'ai reçue est de bonne qualité. Elle est assez sympa et tiens bien sur le bras... Une fois la taille réglée. La montre est livrée avec un tutoriel pour changer la taille mais ça reste un petit peu compliqué.</t>
  </si>
  <si>
    <t>Conformes et très jolies! Commande reçue dans les temps, les bouillottes sont très jolies. Le plastique a l'air solide. Elles se remplissent facilement et gardent bien le chaud! Très bon produit, je recommande!</t>
  </si>
  <si>
    <t>FAN je l'ai acheté et aucun regrets - je suis entièrement satisfait de cet achat  -  enfin un soutien gorge adapté et 100% confiance en la marque</t>
  </si>
  <si>
    <t>Converse Pointure trop grande, ne convient pas a un 37, elles taille plutôt en 38!!!! Dommage après l'attente ne de pouvoir les mettres !!!!</t>
  </si>
  <si>
    <t>Trop petit Taille très petit je suis un peut dégouté car le produit est bon</t>
  </si>
  <si>
    <t>Fermoir Renvoyé fermoir défectueux</t>
  </si>
  <si>
    <t>Pas mal Sympa, mais ma fille n'accroche pas plus que ça sur ce livre..</t>
  </si>
  <si>
    <t>Beau, solide, mais sent très fort La photo est conforme au sac, il est néanmoins plus foncé. Il semble solide et de bonne qualité, j'y rentre mes affaires pour aller a la fac (trieur, trousse, ordi 13'), il y a de nombreux compartiments à l'intérieur, quelques coutures ressortent sont mal finies. En revanche, il a une très très forte odeur de mouton, même après l'avoir laissé dehors tout un week end, en l'arrosant plusieurs fois de Febreeze, l'odeur est toujours présente (mais à diminué en intensité). Pour ce prix, on a tout de même un sac de bonne qualité.</t>
  </si>
  <si>
    <t>Impec ! Je la porte tous les jours, elle me convient parfaitement, les petites poches sont pratiques, je m'en sers d'EDC, impec !.</t>
  </si>
  <si>
    <t>Montre Casio Excellent rapport qualité prix. Je recommande vivement cette montre. Très joli design.</t>
  </si>
  <si>
    <t>Recalibrage du cadran analogique Au bout d'un an, j'ai un peu galéré à recalibrer les aiguilles du cadran analogique, mais finalement en suivant le guide d'utilisation, tout va bien.</t>
  </si>
  <si>
    <t>Bien Bonne paire</t>
  </si>
  <si>
    <t>Joli bracelet rose et bleu Bracelet très sympa et agréable à porter. Les couleurs et les reflets sont bien comme sur la photo donc pas de surprise.  Joli bracelet léger à porter.  Le fermoir est de qualité et pratique avec sa double petite chaînette.</t>
  </si>
  <si>
    <t>Au top ! Bouilloire parfaite pour nous qui adorons que chaque température soit respectée pour chaque thé ou tisane! Rien à redire conforme à sa description!</t>
  </si>
  <si>
    <t>GROS ROULEAU GRAND LARGEUR SUPER PRATIQUE POUR DEMENAGEMENT TRES PRATIQUE POUR SES DIMENSIONS ET SON RAPPOERT QUALITE PRIX</t>
  </si>
  <si>
    <t>Je ne peux que m'incliner ! J'ai eu les premiers écouteurs TrueWireless de Sony, qui étaient déjà très bons malgré des soucis de connexion entre les deux oreillettes.  Là nous touchons la perfection, une réduction de bruit impressionnante et similaire au dernier casque Sony dont tout le monde parle. Je l'ai testé dans une Austin Mini de 86 qui fait autant de bruit qu'une tondeuse, voir plus en accélérant, et bien j'avais l'impression d'être au calme dans mon salon, impressionnant !  Côté qualité du son comme d'habitude il est à couper le souffle, des balances justes entre toutes les fréquences, pas de domination des aigus comme on peut avoir chez bose. Ici tout est à sa place comme l'a voulu l'artiste !  Niveau finition on est sur du premium, clairement, ils sont beaux, les détails soignés, mieux que chez Bang&amp;amp;Olufsen pour qui les parties cuir vieillissent mal.  Si vous hésitez entre plusieurs modèles, aux prix affiché pour ces écouteurs Sony vous n'avez pas à réfléchir, c'est eux les mieux.</t>
  </si>
  <si>
    <t>Très solide Je la recommande vivement.Je l'utilise très souvent avec un blue yeti fixé avec un antipop et ça ne bouge pas d'un poil.La perche est toujours aussi rotative et accessible.Vous pouvez la déplier et la replier plusieurs fois c'est toujours ferme.</t>
  </si>
  <si>
    <t>Bon Bonne chaussures pour faire a peu près tout. La qualité est pour le moment très bien et je n'ai pas eu de problème de taille.</t>
  </si>
  <si>
    <t>facilité d'utilisation excellent produit, facilité des menus, très bon son, volume largement suffisant. Qualité remarquable. A recommander.</t>
  </si>
  <si>
    <t>Jupe bohème facile à porter Jolie jupe ample très agréable à porter l'été. La doublure empêche qu'elle soit transparente. Le motif est élégant. On peut la mettre avec un tee-shirt ou un chemisier.</t>
  </si>
  <si>
    <t>Très pratique Ça me facilite la vie, impression au bureau et hop, le courrier est prêt à partir</t>
  </si>
  <si>
    <t>Simple d'utilisation et bonne odeur J'adore faire brûler du papier d'arménie chez moi l'utilisation est simple et je trouve l'odeur agréable je ne suis pas fan de l'encens donc c'est parfait</t>
  </si>
  <si>
    <t>Achat régulier Mon épouse est fidèle à cet article et le renouvelle régulièrement en changeant de couleur ou pas. Elle n'utilise que ce genre de chaussant.</t>
  </si>
  <si>
    <t>belle parure article conforme à la description. belle qualité. je recommande</t>
  </si>
  <si>
    <t>écusson anarchiste Très bon écusson, facile à mettre ,rend très bien sur mon pantalon de travail.</t>
  </si>
  <si>
    <t>Pied RODE PSA1 Pied acheté pour aller avec mon microphone RODE NT-USB  1 an avec cette perche et fonctionne parfaitement, aucun couinement, aucun coinçage, comme neuve. Recommande fortement si vous voulez avoir accès à votre micro peu importe votre emplacement sur votre bureau.</t>
  </si>
  <si>
    <t>Vive UGG ! Chaussure parfaite dans le froid et la neige, très confortable même avec des petites semelles orthopédique, emballage correct, livraison dans les délais</t>
  </si>
  <si>
    <t>Pantalon cheap Pantalon médiocre : l'étoffe est de piètre qualité (tissu peu épais), les poches sont percées, certaines des poches zippées ne servent à rien (fausses poches) et il taille trop petit. N'achetez pas, ça ne vaut pas son prix...</t>
  </si>
  <si>
    <t>Allergies Allergique . Je ne sais pas en quoi est le métal mais c'est affreux. J'ai du le donner . Je précise que je porte régulièrement des bijoux fantaisie sans problème</t>
  </si>
  <si>
    <t>prix interessent que dire, 1er prix juste ce qu'il faut pour une micro et une perche basique</t>
  </si>
  <si>
    <t>Belle montre à un bon prix. Belle montre pas trop grande ni trop petite à un bon prix sur amazon par rapport au autre site et la livreson est assez satisfesant.</t>
  </si>
  <si>
    <t>Ça fonctionne!!! J'ai eu peur lors de la première utilisation car j'ai mis ces cartouches et j'ai voulu effectuer une photocopie sans avoir allumé mon ordinateur. Et cela n'a pas fonctionné. Il faut que l’ordinateur soit allumé et connecté à l’imprimante pour que vous confirmez que vous désirez utiliser ces cartouches et que vous savez que ce ne sont pas des cartouches EPSON. Après cette petite manipulation (très facile car l'imprimante ouvrira seule un écran de dialogue où il suffit de sélectionner oui), vous pourrez utiliser sans soucis ces cartouches. A première vue il n'y a pas de grosses différences entre celles ci et les EPSON. Je recommande!</t>
  </si>
  <si>
    <t>Best-seller Reçues au bout de 10 jours et conforme a ce dont je m'attendais car c'est ma 2eme paire et elles sont toujours aussi sobres et légeres. La pointe un peu dure s'assouplit au fil du temps et je recommande une paire de semelles amortissante pour un meilleur confort. Reçues couleur taupe et plus clair que sur l'image,pour l'hiver ça peut passer par temps sec et des chaussettes un peu épaisses c nickel Tres bon rapport qualité/prix,un best-seller.</t>
  </si>
  <si>
    <t>Nickel pour ado, et autres sans poche ... L'accessoire indispensable à l'ado Du collège au lycée et plus encore !!!</t>
  </si>
  <si>
    <t>Bonnes chaussures Joli produit Bien fini Un peu lourde mais on s'y fait vite Accroche bien lesûr sols humides et glissants Ressemble à des chaussures de randonnées</t>
  </si>
  <si>
    <t>tétines comme d'habitude, rie à dire !!!!! Toujours satisfaite de la marque avent que ce soit les tétines ou biberons certes plus cher mais rentable !!!!!</t>
  </si>
  <si>
    <t>Le meilleur goupillon du monde Et toutes ces années passées avec un vieux truc qui raye les biberons et ne sèche jamais... si seulement j'avais eu ce goupillon plus tôt ! Je l'offre à toutes les jeunes mamans :-) Il sert aussi pour les gourdes et tasses des enfants avec son embouts pour tétines. Il passe au lave vaisselle.</t>
  </si>
  <si>
    <t>Très bon produit Au delà de mes attentes. Cette montre est top. Packaging de qualité. Seiko toujours des bons produits. Rapport qualité prix inégalable pour une montre automatique !</t>
  </si>
  <si>
    <t>Bib prêt en 30 secondes et fin de l'inconfort digestif !! Le pédiatre nous a conseillé de faire tiédir le biberon car bébé avait des reflux importants et avait beaucoup de mal à faire ses rots et selles. N'ayant pas encore fini la boîte de lait, nous avons commencé avec ce produit pour tiédir le biberon. nous l'avons choisi car  il était le plus rapide du marché pour chauffer l'eau et à la bonne température, avec un bébé qui a de bons poumons chaque seconde compte la nuit. promesse respectée ! bonus : la facilité d'utilisation et l'auto clean. bonus 2 : la possibilité de réchauffer les petits pots selon la quantité de nourriture bonus 3 : le stérilisateur dont nous nous étions passés jusque là, mais nous aurions de toute façon acheté le produit. bonus 4 : meme si le produit est un peu encombrant sur le plan de travail, c'est pratique de pouvoir décrocher et transporter la partie chauffante. Si nous devions toutefois émettre une critique, ce serait que le produit n'est vraiment pas esthétique, le plastique est vraiment moche. Les personnes qui peuvent acheter le bibexspresso peuvent à notre avis mettre un peu plus pour avoir un produit de meilleure facture.</t>
  </si>
  <si>
    <t>Excellent Très bonne qualité Je recommande vivement C'est la 2e fois que je commande ce lot.</t>
  </si>
  <si>
    <t>Comme dans des pantoufles ! Quand on porte ces Columbia Canyon Point Waterproof on se sent presque comme dans des pantoufles, à un détail pres, prenez une pointure au dessus de votre pointure habituelle c'est plus sûr car elles taillent un peu petit. Je ne fais pas de trail ni de treck mais de la balade et de la rando en moyenne montagne, et c'est pour moi le type de chaussure idéale, confortable, légère et même esthétique car elles sont assez féminines avec des couleurs sympas. Vous garderez les pieds au sec mais en marchant sur des surfaces humides. Le genre de chaussure que vous oubliez d'enlever quand vous revenez à la voiture tellement vous vous sentez bien dedans,  c'est assez rare pour être souligné ! Vu le prix, difficile de trouver mieux !</t>
  </si>
  <si>
    <t>produit très efficace Très bien pour entretien de chaussures cuir</t>
  </si>
  <si>
    <t>Produit français Produit français de très bonne qualité. N'hésitez pas !!! J'en ai vendu lors de mon activité et celui-ci est vraiment très bien.</t>
  </si>
  <si>
    <t>Très élégant Joli bracelet, différentes couleurs d’œil de tigre</t>
  </si>
  <si>
    <t>Super pratique Super sac qui permet de faire mon vélo tranquillement . Peut être porter niveau dorsal et ventral . J'aime beaucoup son style et celui ci est très confortable . Je le recommande.</t>
  </si>
  <si>
    <t>Très jolie Ravis</t>
  </si>
  <si>
    <t>Magnifique Elles sont magnifique je recommande!!!!</t>
  </si>
  <si>
    <t>Merci Super</t>
  </si>
  <si>
    <t>AGREABLE ET CHAUDE chaussure agreable et chaude par contre qualite a revoir se decolle deja au pli du pied</t>
  </si>
  <si>
    <t>Couvercle ne ferme plus La bouilloire à un mois et le couvercle ne ferme déjà plus. Impossible de retourner l'article à AMAZON. J'ai contacté Koenig SAV. J'attends une réponse...</t>
  </si>
  <si>
    <t>Le produit que j'ai recu n'est past la meme.  Le tissu est different; tout est different. Produit terrible.  Pas comme dans la photographe.  La couverture a cassee une semaine apres j'ai recu le produit.  Le branchement  a cessee de travailler.  Tres decu!!</t>
  </si>
  <si>
    <t>Jolies Jolies</t>
  </si>
  <si>
    <t>Petit Taille petit. Peu dures au début. J’ai pris noir mais elles sont plutôt gris foncé</t>
  </si>
  <si>
    <t>Taille un peu grande Le 41,5 était un peu grand, il faut prendre une demi taille au moins que sa pointure habituelle,  du moins en ce qui me concerne</t>
  </si>
  <si>
    <t>sacoche idéale pour emporter le maximum et bon rapport qualité prix Taille idéale pour tous les documents, pochettes  sur les côtés suffisantes qualité en rapport avec le prix. Facile à emporter</t>
  </si>
  <si>
    <t>bon rapport qualité prix Papier de bonne qualité</t>
  </si>
  <si>
    <t>idem à la photo trés belles correspond parfaitement à la photo fait un pied trés fin par contre petit problème de semelle interne qui fait un pli au milieu du pied</t>
  </si>
  <si>
    <t>TROP CONTENTE une super veste ! Super douce trop trop chouette !!!! j'adore vraiment !  je la recommande la taille est nickel  pas de surprise</t>
  </si>
  <si>
    <t>Bon produit J ai acheté ce produit pour redonner de l éclat et recouvrir certains endroits sur des baskets stan smith, le rendu est parfait et facile a appliquer.</t>
  </si>
  <si>
    <t>conforme produit confortable</t>
  </si>
  <si>
    <t>Superbes Vraied ou fausses je m'en fous... Elles sont canons d'un blanc éclatant parfait pour la saison. Bref je suis très satisfaite... À voir sur le long terme.</t>
  </si>
  <si>
    <t>Bon produit efficace et apaisant Assouplit et relaxe bien les muscles, aussi bien avant l'effort qu'après. bon qualité /prix. Odeur à mon goût agréable. Contenance suffisante.</t>
  </si>
  <si>
    <t>La qualité Eastpak ! Tout le monde connaît tant la marque que l'aspect de ses sacs à dos devenus des références incontournables. Solides, légers, assez confortables, brides épaisses et surtout, l'esthétique de ce gris "black denim" est parfaite !</t>
  </si>
  <si>
    <t>Belle qualité Le produit est d'une belle qualité et finition. La personne qui les a reçues en cadeau adore. Très allergique, j'avais quelques craintes et il n'y a eu aucune réaction, donc c'est vraiment parfait</t>
  </si>
  <si>
    <t>Génial ! Super produit, idéal pour les soirées entre copines</t>
  </si>
  <si>
    <t>Top Trop mignon</t>
  </si>
  <si>
    <t>Meilleur rapport qualité/prix. Pour ne plus laisser trainer le casque sur le bureau, esthétique, discret et très utile. Je recommande !</t>
  </si>
  <si>
    <t>Nickel J'étais septique, j'ai un boulot physique, et je me sens beaucoup mieux le soir après une petite séance de 15mn</t>
  </si>
  <si>
    <t>facile Très facile à mettre en place et très stable</t>
  </si>
  <si>
    <t>Joli bracelet Conforme à l’attendu</t>
  </si>
  <si>
    <t>Fragile ++++ Très joli bracelet, mais fermoir très fragile. J'ai dû le renvoyer, car soudure cassé...</t>
  </si>
  <si>
    <t>Ne fonctionne plus en une semaine Ne fonctionne plus après 1 semaine et demi d'utilisation pas vraiment intensive... S'allume 1 seconde puis plus rien. S'il y a eu mauvaise utilisation, j'aimerais au moins savoir comment, mais j'ai plus l'impression d'un défaut de fabrication...</t>
  </si>
  <si>
    <t>pas de coque si on achète des chaussure de securite dite de travail c est pour les coques annonce très mal fait très dessus de mon achat  amazon perd de la qualité de ces produits pour faire du chiffre  tres dessus</t>
  </si>
  <si>
    <t>Bie Super, mais faire vraiment attention à la taille moi je fais du 39 j'ai pris 28-42 et c'est pile ma taille donc je doute qu'un 42rentre dedans</t>
  </si>
  <si>
    <t>2 su 3 parfait Je viens  de les recevoir.  bizarre  car dans le lot il y en a 1 qui est plus petit d'une bonne taille du coup  il sert et est trop juste  alors  que les 2 autres sont parfaitement  ajusté et confortable.... quelqu' un a eu ce problème  ??</t>
  </si>
  <si>
    <t>Très utile à l'approche de l'hiver &lt;div id="video-block-R2P9A8YRBE8WQ4"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id="7" preload="auto" src="https://images-eu.ssl-images-amazon.com/images/I/A1j0ukTVb4S.mp4" style="position: absolute; left: 0px; top: 0px; overflow: hidden; height: 1px; width: 1px;"&gt;&lt;/video&gt;&lt;/div&gt;&lt;div id="airy-slate-preload" style="background-color: rgb(0, 0, 0); background-image: url(&amp;quot;https://images-eu.ssl-images-amazon.com/images/I/713lMEcV6SS.png&amp;quot;);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value="https://images-eu.ssl-images-amazon.com/images/I/A1j0ukTVb4S.mp4" class="video-url"&gt;&lt;input type="hidden" name="" value="https://images-eu.ssl-images-amazon.com/images/I/713lMEcV6SS.png" class="video-slate-img-url"&gt;&amp;nbsp;Réservé à l’adulte ce chauffe matelas réchauffera vos nuits il est très facile à installer grâce à ses cordelettes qui le maintient  en place toute la nuit ￼il faut le poser directement sur le matelas ￼en dessous du drap housse le tirer vers le pied du lit afin que les oreillers ne soient pas￼ au niveau de la chaleur￼. Faire chauffer une demi-heure avant de s’installer  !! le lit est chaud. Si vous souhaitez le laisser allumé toute la nuit il faut le positionner au minimum. Personnellement je préfère le chauffer au maximum pendant une demi-heure et l’éteindre ! il se met dans le lave-linge position «&amp;nbsp;linge délicat&amp;nbsp;» En espérant qu’il va faire froid cet hiver! Attention aux personnes portant un pacemaker￼. J'espère avoir été utile</t>
  </si>
  <si>
    <t>bon produit et bonne livraison un produit efficace pour un petit prix. j'ai eu des kit main libre cher et de mauvaise qualité. j'ai été étonné par le rapport qualité prix. évidemment ce n'est pas du haut de gamme. mais franchement c'est excellent. le moins : sature quand on mets à fond.... mais bon... normal. et pas de possibilité d'écoute multimédia, ou skype. c'est juste de la téléphonie.</t>
  </si>
  <si>
    <t>Trompe l oeil! Premier jour douloureux ampoules....sur les orteils[4orteils de chaque pied] depuis plus rien.pas lourde.</t>
  </si>
  <si>
    <t>Jolie Donne bien et tres jolie</t>
  </si>
  <si>
    <t>Bon rapport qualité/prix vue la notoriété de la marque Jolie montre, légère, agréable à porter. A porter quand en tenue chic quand on a pas de vêtements Lacoste sur le dos (Sinon surcharge!)! Le quartz est très précis (Mécanisme américain de marque Movado [Je crois!]). Le bracelet italien est très bien et facile à régler par contre se n'est pas une montre de tous les jours car elle n'affiche pas la date du mois.</t>
  </si>
  <si>
    <t>Bon produit J'ai choisi cette note car je l'ai est reçu très rapidement, elles sont en très bonne états et la taille est très bien. J'ai aimée la rapidité de livraison. Je le recommande pour tous.</t>
  </si>
  <si>
    <t>parfait la taille XXL convient pour du 44 tissu elastis un peu extensible donc épouse bien les lignes du corps sur le bustier longueur idéale</t>
  </si>
  <si>
    <t>indispensables et multi fonctions Le top pour chauffer les laits des bébés (sans micro onde ) les garder au chaud plusieurs heures voir maintenir l eau chaude ds le bib la nuit et il n y a plus qu a verser le lait en poudre et pas d'attente pour bb 😁les plus  il décongèle le lait maternel et sert de stérilisateur pour 2 bib. Il prend moins de place que les gros stérilisateur je le recommande vivement pour nous les assistantes maternelles 😊</t>
  </si>
  <si>
    <t>Qualité lacoste Parfait du : LACOSTE</t>
  </si>
  <si>
    <t>Niquel Les chaussures sont arrivées un jour avant, de bonne qualité au regard. A voir dans le temps mais pour le moment satisfait !</t>
  </si>
  <si>
    <t>Super chaussures Chaussures de très bonne qualité, de toute façon avec vans on jamais déçu !</t>
  </si>
  <si>
    <t>Produit parfait pour son utilisation Nous utilisons tous les jours ce produit pour notre jeune enfant, pour les jeunes parents vous pouvez acheter sans problème ce stérilisateur.</t>
  </si>
  <si>
    <t>Apres 1an je rachète les meme! Portées tous les jours pendant 1an je rachète la meme paire! Rapport qualité prix imbattable! Excellent qualité pour cette game de prix</t>
  </si>
  <si>
    <t>sympa et d'un bon rapport qualité prix Cela fait plusieurs années que ma petite amie et moi achetons des produits de cette marque et nous ne sommes jamais déçus, les couleurs sont sympas, la qualité de fabrication est tout à fait correcte, la teinte reste bien vive même après des mois, et en plus ils arrivent rapidement, que demandez de plus ?  Si vous cherchez un sweat shirt sans fioritures mais qui fait parfaitement son office, je ne saurais trop vous recommander cette marque d'un bon rapport qualité prix</t>
  </si>
  <si>
    <t>Parfait ! Je viens de recevoir ma sacoche aujourd'hui. J'en ai déjà plusieurs de différents coloris et la qualité est au rdv. Aucune mauvaise surprise. La couleur (black denim) correspond à la photo. Je recommande.</t>
  </si>
  <si>
    <t>Plus joli que la photographie J'avoue être bluffé sur la qualité de ce bijou. A tel point que je m'empresse d'acheter les boucles d'oreilles. Ce pendentif est original et il fait de l'effet. Les jeux de lumières de ce bijou est bluffant.</t>
  </si>
  <si>
    <t>Bien pour bebe Vraiment bien pour bebe</t>
  </si>
  <si>
    <t>Exelent rapport qualite/prix La premiere impression au déballage est bonne il est plutôt beau mais un peu lourd . Le confort est correct  certain casques bien plus chers sont même mois agréable à porter. A l'écoute le son est agréable les basses les voix sont bien restitués mais l'ensemble manque un peut de precision mais à ce prix la rien à dire. L'autonomie est très bonne, je ne l ai pas mesurée mais je ne le recharge pas souvent. Pour résumer, un bon achat que je recommande sans restrictions attendu son prix.</t>
  </si>
  <si>
    <t>Le produit ne correspond pas à la photo, ancien modèle Le produit ne correspond pas à la photo, ancien modèle</t>
  </si>
  <si>
    <t>Déçu Déçu de mon achat. Je m'attendais à avoir un manteau chaud mais sa n est pas le cas.</t>
  </si>
  <si>
    <t>Conforme Produit conforme et prix très attractif. Par contre la tétine rentre beaucoup à l'intérieur. A chaque fois que ma fille mange je dois enlever le biberon pour que la tétine reprenne forme ce qui m'énerve beaucoup</t>
  </si>
  <si>
    <t>Belles chaussures Depuis longtemps je cherchais des bottines de ce genre. La qualité est au rendez-vous, attention cependant elle ont tendances à tailler un peu grand. Envisagez une taille de moins que votre taille habituelle.</t>
  </si>
  <si>
    <t>Bon produit Satisfaisant et a priori sans trop de produits à risque</t>
  </si>
  <si>
    <t>Top Produit qui détend et soulage certaines douleurs.</t>
  </si>
  <si>
    <t>convient à mes attentes à l'aise pour marché , pas encombrante , la poche est très bien pour le portable et tous les papiers tiennent dedans</t>
  </si>
  <si>
    <t>parfait Tres bon diffuseur que j'ai maintenant depuis plusieurs moi et qui fonctionne au moins 8 heures par jour.La capacité est grande et la qualité est bonne.je recommande ce produit.</t>
  </si>
  <si>
    <t>Peut être la plus belle ? J'ai déjà acheté des dissuseurs d'odeurs, tellement je trouve leur travail à la fois sain et agréable A chaque fois, j'ai essayé une forme différente Ma fille ayant été attirée par un diffuseur coloré è dont la lumière varie), je le lui ai offertt pour acheter celui ci : la classe Il est beau, ce qui compte Posé sur un bureau bois, il passe parfaitement Le volume de liquide, mais surtout l'ai expiré, est important, permettant selon le dosage et le produit de diffuser une odeur sensible ou plutôt discrète J'aime bien la possibilité de programmer sur 1h, 2h ou3h Et enfin la lumière, sous forme de cercle, est discrète, et peut aussi s'éteindre si on le souhaite Bref ce diffuseur m'enchante et je le recommande</t>
  </si>
  <si>
    <t>Acheté en cadeau. J'ai reçu plusieurs compliments sur ce bracelet. Aimer! Va avec à peu près n'importe quelle tenue.</t>
  </si>
  <si>
    <t>Au top Très satisfaite de mon achat. Fonctionne parfaitement bien.</t>
  </si>
  <si>
    <t>Elles sont confortables et de bonne qualité. Livraison rapide. Emballage soigné. J'ai acheté ses chaussettes afin de remplacer mes anciennes qui étaient trop usées. A l'ouverture de la boite agréable surprise on découvre de jolies chaussettes. Elles sont de bonne qualité. A l'utilisation elles sont confortables , elles épousent parfaitement la forme du pied , les élastiques sont résistant même après plusieurs lavages, elles sont chaudes on a pas froid au pieds. Un bon rapport qualité prix. Je vous recommande ses chaussettes.</t>
  </si>
  <si>
    <t>impecable Un anti-pop simple et efficace. Se fixe directement sur le micro. Perso, je trouve ça mieux que d'avoir à visser anti-pop sur le bras/perche qui supporte le micro. Maintenant, sur un micro chant je suis pas sur qu'il soit plus efficace qu'un anti-pop classique avec double couche. Mais vu mon besoin (stream) et vu le prix, j'en suis très satisfait. J'ai toutefois un doute sur la durée de vie des élastiques de maintient. Mais bon, c'est des élastiques, pas difficile d'en changer.</t>
  </si>
  <si>
    <t>Très bon Les biberons sont parfaits comme ceux de la pharmacie La couleur des dessins reste intacte</t>
  </si>
  <si>
    <t>Simplement géniale Marche urbaine. Top et confortable</t>
  </si>
  <si>
    <t>excellent Indispensable pour connecter un micro à condensateur à un ordi. un peu encombrant, mais c'est pas  trop gênant Les cables fournis (micro et alim) sont d'une longueur satisfaisante  (environ 2m)</t>
  </si>
  <si>
    <t>Identique Bonne taille et produit conforme à la photo</t>
  </si>
  <si>
    <t>Rien a dire Produit conforme et performant. Rien a redire. Bonne capacité. Rapide à la charge avec l'iPhone. On peut partir en week end tranquil</t>
  </si>
  <si>
    <t>Confortables belles et solides Confortable</t>
  </si>
  <si>
    <t>Très bon produit Parfait très bonne qualité. Simple efficace correspond à la description.  Simple à utiliser, simple à nettoyer. Prend peux de place.</t>
  </si>
  <si>
    <t>Contente Bonne qualité</t>
  </si>
  <si>
    <t>Déçue La couleur ( bleu ciel ) ne correspond pas du tout à la photo : il s'agit plutôt d'un bleu pétrole clair. La chaussure est comme tous les modèles 2750 de Superga et taille bien. Dommage que la couleur réelle n'ait rien à voir avec l'image sur le site...</t>
  </si>
  <si>
    <t>Déçue Je ne suis pas satisfaite de l'achat mais rien à voir avec le produit c'est simplement qu'il ne convient pas à bébé qui a 2 mois et qui était allaité,il a eu besoin d'une tétine avec moins de débit  et se rapprochant plus du sein maternel.</t>
  </si>
  <si>
    <t>Conforme Reçu a l instant. Colis soigné mais la boite des biberons etait tres abimées. Heureusement ils n ont rien ! Sinon le produit est conforme a la descriptions. Reste a voir comment ma pepette les aimera !</t>
  </si>
  <si>
    <t>pas mal, pratique pratique grande poche arrière . tissu qui déperle l'eau .bien pensé.Taille moyenne, c'est pas juste une petite pochette. se porte sur le devant aussi.rapport qualité prix correct</t>
  </si>
  <si>
    <t>Produit conforme Produit conforme , livraison soignée , bon rapport qualité-prix . 4 étoiles et pas 5 , car le cadran est un peu trop grand</t>
  </si>
  <si>
    <t>Les oreilles de chat sur la capuche trop excellent 👌 Coup de cœur de ma fille les oreilles sur la capuche au top tout le monde est fan 🤩 par contre ne pas s attendre à une épaisseur raisonnable mais tient bien aux lavage</t>
  </si>
  <si>
    <t>Nostalgie ... Très bon tissu, coloris et coupe conforme à l'original, tout y est pour revenir en enfance avec ce fameux sac army</t>
  </si>
  <si>
    <t>Excellente montre Montre mécanique achetée il y a presque 1 an et je la porte presque tous les jours. Bonne réserve de marche. Elle perd néanmoins 2 à 3 minutes sur un trimestre. De plus elle nécessite un entretien chez l'horloger au moins une fois tous les 3 ans...</t>
  </si>
  <si>
    <t>Génial ! Malgré une taille un peu grande ces timberlands sont magnifiques ! Elles sont plus légères que les originales et semble vraiment agréable une fois faites au pied !</t>
  </si>
  <si>
    <t>parfait Bonjour, je l'ai reçu rapidement, et c'est excellent ! Franchement c'est le troisième objet que j’achète de marque Klim ( clavier pc, casque pc et écouteurs) Je suis très content de cette marque, c'est de la qualité à prix abordable, et c'est Français). un conseil n'hésitez plus !!!</t>
  </si>
  <si>
    <t>Excellent ! Ce micro est parfait, un entrée de gamme qui a tout d'un grand pour moi. La rapport qualité/prix est vraiment super, rien à redire. L'araignée absorbe bien les chocs et les vibrations, et le filtre anti-pop est juste niquel.  A recommander les yeux fermés !</t>
  </si>
  <si>
    <t>Bon marché et efficace Le coussin peut s'utiliser sur le dos, le ventre, les jambes, la nuque... Bref, très polyvalent. Utilisation très facile vu qu'il n'y a qu'un seul bouton pour les deux modes. On a le temps de profiter d'un massage très agréable avant l'arrêt automatique pour permettre le refroidissement. Le massage n'est pas trop fort, mais il suffit de s'appuyer plus ou moins dessus (utiliser des coussins) pour varier la puissance. Pour le moment, l'article semble solide. A confirmer sur la durée. En hiver, le chat apprécie la fonction chauffante et essaie de se coller dessus... Bref, un achat validé par toute la famille.</t>
  </si>
  <si>
    <t>produit orignal belle</t>
  </si>
  <si>
    <t>Confortable Fidèle au modèle des années 80🌞</t>
  </si>
  <si>
    <t>Rien à redire ! Parfaite ! Convient parfaitement à ce que je cherchais. Super chaussures d'été, qui ce nettoie très facilement. Enfin elles sont très solide, on peut tout faire avec.</t>
  </si>
  <si>
    <t>parfaites je les ai choisies une taille au dessus pr pouvoir les porter avc des soquettes,j'aurais presque pu m'en abstenir,elles taillent vraiment bien.colori parfait,semelle interieure cuir pr le confort(et blanche pr ne pas tacher les pieds). livrées avc deux paires de lacets,un du colori des chaussures et un contrastant. rien a redire,j'ai reçu exactement ce à quoi je m'attendais.</t>
  </si>
  <si>
    <t>Super Moi qui cherchait partout ces valves. J'ai enfin trouver !!!! Produit conforme à la description</t>
  </si>
  <si>
    <t>Impec Un bon produit</t>
  </si>
  <si>
    <t>Bon produit Súper SAC. Ríen a redire sauf peut-être manque des poches...</t>
  </si>
  <si>
    <t>Chaussures au top Taillent bien, stylées et vont avec tout. Chaudes et confortables, avec un parfum agréable</t>
  </si>
  <si>
    <t>ok bon produit attention taille juste</t>
  </si>
  <si>
    <t>Très bien Montre superbe. Correspondant à la photo et description !</t>
  </si>
  <si>
    <t>bracelet j'ai bien reçu le bracelet, je vous remerçie !</t>
  </si>
  <si>
    <t>déçu par le produit Je n'ai pas aimé ce produit de par sa qualité, les feuilles ne sont pas électrostatiques comme celles que j'ai l'habitude d'utiliser, ce qui ne permet pas de maintenir correctement plusieurs éléments sur la même feuille et du coup tout glisse, je recommande ce produit uniquement  pour la plastification simple de feuille A4 uniquement</t>
  </si>
  <si>
    <t>Très mauvaise qualité!!! J'ai porté ces baskets 15 jours à peine et elles sont déjà déchirées sur les côtés, je suis très déçue...d'autant que je n'ai jamais eu de soucis avec les produits Amazon</t>
  </si>
  <si>
    <t>Trop grand Elle sont beaucoup trop grande pour un.39 impossibles de les échanger le vendeur ne répond pas depuis au moins.10 jours , oui je suis tes dessus car elle sont vraiment très belle et je ne peu pas les porter.</t>
  </si>
  <si>
    <t>gomme magique j aurais pense qu elles aurait tenues plus longtemps au bout d un nettoyage elles commencent a ce ramolir  dommage</t>
  </si>
  <si>
    <t>Un peu faiblard comme son même avec l'alimentation additionnelle Je m'attendais à qqch de plus puissant, surtout avec l'alimentation additionnelle. Il doit y avoir moyen d'améliorer ça, mais je préfère très nettement le blue Yeti acheté également sur Amazon, qui est impeccable !</t>
  </si>
  <si>
    <t>Bon produit petit temps de latence quand même, mais ça reste raisonnable pour le prix, j'en utilise donc je valide</t>
  </si>
  <si>
    <t>produit idéale printemps et été produit adapter pour l'été,on s'en bien l'aire passer en marchant et en courant, même en vélo, on ne transpire pas dedans</t>
  </si>
  <si>
    <t>Parfait. Très bien.</t>
  </si>
  <si>
    <t>Parfait Parfait pour mes bébés de 13 mois qui peuvent enfin boire leur biberon seul. Certes, ils en mettent de partout, mais ils sont fiers de pouvoir être autonomes, et nous les parents pouvons boire notre café en même temps qu'eux (pas le café voyons).</t>
  </si>
  <si>
    <t>bon produit trés confortable</t>
  </si>
  <si>
    <t>J'adore J'ai vu qu'il y a un volume 2 que j'ai hâte d'acheter. J'en ai pris pour toutes les petites filles que je connais, en différentes langues. Ce livre est fantastique !!</t>
  </si>
  <si>
    <t>Ecouteurs d'origine Très bon écouteurs, similaires à ceux d'origine que j'avais déjà. Livrés dans une petite boite de rangement en plastique Samsung. Livraison un peu longue car ils viennent directement de Chine. Il n'y a par contre pas de petits embouts de rechange de différentes tailles.</t>
  </si>
  <si>
    <t>Je le recommande vivement Je cherchais une bouilloire à température réglable pour mon thé.je suis satisfaite de ce produit.certe elle bip un peu mais bon pas de quoi réveiller tout le monde non plus. Il suffit de mettre de l eau elle s arrête une fois la température attent c est top et si on la laisse elle bascule en maintien de température et franchement rien à dire.pour des boissons chaudes c est l idéal.j été septique à cause des bip mais c est pas énorme non plus. Je la recommande vivement en plus niveau prix et fonction c est une affaire.</t>
  </si>
  <si>
    <t>parfait conforme à la description écouteurs strictement identique à ceux perdu c'est  parfait !!</t>
  </si>
  <si>
    <t>Brillant Je suis tellement content d'avoir acheté sac banane. C’est le lieu idéal pour garder mes essentiels pour les voyages et les promenades occasionnelles. Il a l'air bien et se sent à l'aise comme un sac à bandoulière. Je vais certainement recommander. Il a également été livré rapidement et emballé de manière adéquate.</t>
  </si>
  <si>
    <t>super! je l'aimé!</t>
  </si>
  <si>
    <t>Jolies sneakers Puma Je teste ces sneakers en pointure 37,5. En réalité, elles correspondent parfaitement à ma pointure 38. Ces baskets sont superbes, très féminines, blanches, très délicatement surlignées de rose et or. La fermeture, à lacets est originale, avec les œillets allongés d’un métal rose-doré. Les lacets sont larges et semblent résistants ; ils sont tressés. Mais nous avons aussi une paire de lacets en satin (qui vont ajouter élégance et originalité). Finalement ces ravissantes  chaussures ne serviront pas que de chaussures de sport, mais d’accessoire de mode raffiné. Par ailleurs, elles sont confortables. Je répète qu’elles taillent grand.</t>
  </si>
  <si>
    <t>Diffuseur imitation bougie, Très beau diffuseur imitation bougie scintillante comme les vraies. Il est original par son design et la qualité est là. Il peut servir autant de diffuseur d’huiles essentielles que de lampe d’appoint. Je ne regrette pas mon achat. Livré rapidement.</t>
  </si>
  <si>
    <t>Super jolie Du puma quoi ! Génial. La couleur est bien plus belle en vrai.</t>
  </si>
  <si>
    <t>Beau et élégant Acheter pour faire un petit cadeau à ma maman, elle a été enchantée par ce bracelet!  Les couleurs donnent vraiment bien en vrai, il me paraît résistant, les matériaux donnent confiance  C'est un bel objet pour faire un cadeau, pensez-y pour Noël ;)</t>
  </si>
  <si>
    <t>Très bonne qualité pour son prix La réduction de bruit fonctionne bien sauf avec certaines fréquences (dans un train, on n'entend presque plus les bruits de roulement mais on entend le sifflement de l'onduleur) mais je pense que le problème est le même avec tous les dispositifs de ce genre, ils ne peuvent pas contrer toutes les fréquences... Le son me plait beaucoup, il est chaud, les basses ronronnent sans être trop agressives, les mediums et aigues sont claires. Je le recommande donc pour son rapport qualité-prix. J'aurais juste aimé un interrupteur on/off car il faut attendre que le casque se mette en veille.</t>
  </si>
  <si>
    <t>Housse canapé Tissu paraissant un peu fin, mais finalement tres resistants, j ai 2 petits enfants de 5 ans qui grimpent dessus, 2 ados de 17 et 16 ans qui se prelassent dessus et 5 chats qui squattent  regulierement, le tissus ne bouge pas, meme au lavage. Tres bien</t>
  </si>
  <si>
    <t>Parfaite pour deux grandes tasses Très contente de mon achat. Elle prend peu de place sur le plan de travail et elle chauffe rapidement. Design sympa</t>
  </si>
  <si>
    <t>Appareil de massage électrique C’est un appareil de massage agréable pour masser la tête. L'utilisation est simple, il est léger et facilement maniable. Bon rapport qualité prix, Ravi de cet achat.</t>
  </si>
  <si>
    <t>Nul Nul</t>
  </si>
  <si>
    <t>Brûlure en versant ( vapeur) Beau design mais j’en ai assez de me brûler  ( mal formation) ....</t>
  </si>
  <si>
    <t>Bof Un parfum vraiment écoeurant</t>
  </si>
  <si>
    <t>Perte de son Grosse perte de son</t>
  </si>
  <si>
    <t>Parfait mais... Le plus dans ce Bola de grossesse est la plume qui l’accompagne. Elle donne une touche d’originalité. Mais du coup, le tintement de la clochette s’en trouve masqué. On entend plus le choc entre le bola et la plume, j’ai donc fini par ne garder que la clochette qui produit un bruit léger et agréable. La chaîne est assez longue pour que le bola arrive jusqu’au nombril. Parfait.</t>
  </si>
  <si>
    <t>Pantoufles ouvertes Pantoufles jolies et confortables. Correspondent à la description, Achat satisfaisant. Neuve mais semblent bonne qualité.</t>
  </si>
  <si>
    <t>pieds fins eviter coups de pieds forts elle s sont tres jolies mais j'ai le pied large et le coup de pied fort donc j'ai du les retourner</t>
  </si>
  <si>
    <t>Bien Cartouche originale , fait bien son job,dure longtemps. Prix élevé mais c'est le prix pour une grosse cartouche donc aucun regret</t>
  </si>
  <si>
    <t>Tres bien Ce sont des chemises cartonnées assez épaisses. Rien de spécial à en dire... Conviennent sans soucis pour le classement de papiers format A4.</t>
  </si>
  <si>
    <t>Chaussures sneakers Chaussures très jolie et très confortable. N'a rien a envier a de grandes marques. Très satisfait du choix et même la couleur est top. Recommandé :)</t>
  </si>
  <si>
    <t>Produit introuvable ds les magasins A votre avis????</t>
  </si>
  <si>
    <t>parfait rien à redire, article top vendu avec plusieurs petites barrettes de fixation au cas où ça casse, le cuir semble nickel s'adapte parfaitement à la montre super produit.</t>
  </si>
  <si>
    <t>Excellent Livraison rapide, allez chez ma sœur le week-end, apportez-le-lui dans le passé! Il n'y a pas de bruit quand on fait bouillir de l'eau, et c'est très rapide. Les articles sont les mêmes que ceux décrits, très satisfaits!</t>
  </si>
  <si>
    <t>Très satisfaite Elles sont exactement comme sur les images. Très agréable à porter, légère. Très bon qualité prix. Je marche super bien et longtemps.</t>
  </si>
  <si>
    <t>Satisfait Le look rose est très joli et est à la mode, la fille de mon amie l'aime bien, très approprié pour les filles.</t>
  </si>
  <si>
    <t>Parfait pour son prix J’ai un micro assez lourd dans l’ensemble (bird um1) et il s’adapte et tient parfaitement. Maniable dans l’ensemble et très stable.</t>
  </si>
  <si>
    <t>Idéal Super pour nettoyer les biberons (importe la marque des biberons)</t>
  </si>
  <si>
    <t>Top.Rien à redire Cartouche de très bonne qualité. Je recommande.</t>
  </si>
  <si>
    <t>pratique pour un petit prix chauffe assez vite etl'eau est très chaude</t>
  </si>
  <si>
    <t>confort ! Mon fils les a définitivement adoptées, sous toutes ses formes ces chaussettes ont toutes les qualités pour un ado exigeant.</t>
  </si>
  <si>
    <t>Très bonne baskets Très jolie et confortable et envoie rapide</t>
  </si>
  <si>
    <t>j'adore la couleur je suis habituée à acheter des bensimons et je dois avouer que j'adore vraiment cette couleur. Niveau taille, je prends toujours celle que je prends d'habitude et je n'ai eu aucunes mauvaises surprises.</t>
  </si>
  <si>
    <t>Très bon achat Quel bonheur ce coussin massant, j'ai des douleurs aux cervicales et au dos et le massage avec le coussin est vraiment agréable pour dénouer les tensions, j'ai également testé le massage en conduisant, c'est vraiment un + après une journée chargée!</t>
  </si>
  <si>
    <t>petit bracelet sympa. Bien adapté au poignet, pas trop lourd j'ai apprécié le fil et la perle en plus. Très bonne idée</t>
  </si>
  <si>
    <t>Photos du produit ne correspondant pas au produit reçu Les photos de présentation du produits ne correspondent pas au produit reçu. En effet j’ai commandé une paire de claquette entièrement noires comme indiquées sur les photos et je les ai reçues noires et blanches. Après vérification, il apparaît qu’une seule des 6 photos de présentation montre une paire noire et blanche alors que toutes les autres photos montrent une paire entièrement noire. D’autre part, ayant pris une taille au dessus de la taille habituelle, je trouve le dessus des claquettes très étroit et serré. À voir avec le temps si cela s’ouvre. Ne pas hésiter à prendre une taille au dessus comme indiqué dans les autres commentaires.</t>
  </si>
  <si>
    <t>verifiez vos cartouches.... J'ai achetée cette référence par précaution en avril. J'ai voulu les installer aujourd'hui et elles sont refusées par l'imprimante .En fait ,les  cartouches sont des 550/551 et non des 570/571.Le format extérieur est strictement identique. Evidemment je n'avais rien contrôlé  à la reception et jeté emballage et documentation. 40 € de perdus! Très déçu  (pour la première fois) du service Amazon. Moralité : vérifiez impérativement à réception le contenu de votre commande. Profitez de ma mésaventure!</t>
  </si>
  <si>
    <t>Un peu court, mais confortable Un peu déçue de la taille haute peu élatiquée, je trouve la taille un peu juste en longueur. A côté, le confort, la matière sont très bien.</t>
  </si>
  <si>
    <t>Semelles pas si compensées La taille est bonne mais la courbe de la semelle n’est pas en adéquation, obligée d’ajouter une semelle pour avoir une régularité de la courbe</t>
  </si>
  <si>
    <t>Lampe de bureau LED Design sympa, température et intensité variable ce qui permet d’adapter la lampe en fonction de ses besoins. Une étoile retirée car pour du LED je trouve qu’elle chauffe beaucoup après quelques minutes seulement. Livraison rapide et soignée.</t>
  </si>
  <si>
    <t>acheté pour un cadeau cadeau qui a été apprécié par la personne qui l' a reçu. quelques expérience sympath à faire pour passer le temps et s' amuser</t>
  </si>
  <si>
    <t>Bon produit ! La taille est un peu petite, je vous conseille de prendre une taille au dessus de la votre. Sinon la matière est confortable et agréable. Je recommande ce produit, et je pense le reprendre en une autre couleur. J'ai juste trouvée la longueur des ficelles devant un peu longue. Pour résumé, je ne regrette pas mon achat.</t>
  </si>
  <si>
    <t>Classique Ai dû renvoyer 41 car chausse trop étroit. Dommage qu’il ne soit plus disponible en 42!</t>
  </si>
  <si>
    <t>Facile à utiliser et efficace 👍 Mamie ne sort plus de chez elle et c’est un moyen de lui maintenir une bonne circulation. Bien qu’âgée de bientôt 97 ans, elle a compris le fonctionnement simple d’utilisation. C’était ma crainte mais c’est bon. Elle ne rate pas sa petite séance quotidienne.</t>
  </si>
  <si>
    <t>👍🏾 💪🏾</t>
  </si>
  <si>
    <t>Très bien La taille convient, qualité égale à Puma.</t>
  </si>
  <si>
    <t>Super Commandé pour mon mari lors d'une vente flash,très jolie. Taille comme prévu. Pour le prix (27€) ya rien à dire.</t>
  </si>
  <si>
    <t>Vive noel Parfait pour des enfants de début CP! J'achète donc la suite de la collection. Pour le prix, il faut en profiter!</t>
  </si>
  <si>
    <t>Impeccable J'ai lu les commentaire et donc j'ai pris une demis pointure en dessous, elles me vont nickel. J'avais peur car dans un commentaire la personne les a reçu en tissus au lieu du cuir OUF elles étaient belles et bien en cuir. Je les ai reçu 2 jours avant la date prévu, maintenant plus qu'à les emmener pour les mettre pour Anjoue Vintage 😊</t>
  </si>
  <si>
    <t>enfance Ravie de porter ses sabots confortable et bien fini. Livrés en bon état .  Je repense à mes années à la campagne. Les sabots reviennent à la mode. Cool</t>
  </si>
  <si>
    <t>Confortable et performant J'en suis très content, utilisation des plus simples et bien décrite dans la notice d'emploi. Maintenant e jne sais pas s'il peut l'utiliser longtemps sans problème, mais je le recommande comme meme</t>
  </si>
  <si>
    <t>Qualité et esthétique ! Il s’agit d’un lot de 3 biberons en verre  Dodie. Contenance : deux biberons de 270 ml. Un biberon de 150 ml. Ils sont tous les trois à colle large. Ils sont tous les trois anti colique. Ils sont tous les trois à tétine plate. Garantie sans BPA et sans BPS . Ils ont cependant des débit différents les plus gros volume ceux de 270 ml ont une puissance de débit de 2. Le biberon de 150 ml à un débit de 1. Esthétiquement ils sont très réussi. Ils représentent  trois capitales : New York, Paris, Londres. Je suis une habituée de ce type de produit, je n’ai jamais eu aucun souci. La qualité est là, le fait que ce soit en verre est très appréciable surtout pour le lave-vaisselle et la durée de vie des biberons. Bon rapport qualité prix. J’espère que ce commentaire vous sera utile, si vous avez des questions n’hésitez pas</t>
  </si>
  <si>
    <t>Prix défiant toute concurrence Excellent</t>
  </si>
  <si>
    <t>siege relaxant C’est trop bien ce siège massage, c’est vraiment un siège de professionnel très relaxant. Utilisation simple avec un télécommande fourni qu’on peut choisir à quel niveau de corps à masser et contrôler sa intensité. ( cou,dos ,fesse) je suis satisfait de cet achat.  Je vous recommande vivement. Surtout après une longue journée de travail ça nous détend .</t>
  </si>
  <si>
    <t>Lecture Idéal pour les premières lectures</t>
  </si>
  <si>
    <t>très bien Joli sweat. Pas très épais mais tout compte fait, il est bien chaud. Je ne regrette pas mon achat. Merci infiniment pour tout</t>
  </si>
  <si>
    <t>Beau Reçu à la date prévue, jolie ensemble de collier. À voir avec le temps si les chaînes ne rouilles pas. Je recommande.</t>
  </si>
  <si>
    <t>livraison rapide et correcte ça m'a l'air d'être un bon produit, en tout cas aucun soucis depuis que je l'utilise mais je ne peux pas garantir le nombre de feuille que j'imprimerais. car celle d'origine n'a vraiment pas tenue longtemps. (moins de 300 feuilles)</t>
  </si>
  <si>
    <t>Pas pour les peaux sensibles J'ai ce que l'on appelle une peau de blonde. les éclats des noyaux sont trop gros  et irritent. Par contre le mélange des huiles est très agréable</t>
  </si>
  <si>
    <t>Très jolies mais pas vraiment faites pour du running. Chaussure qui est faite essentiellement pour «&amp;nbsp;décorer&amp;nbsp;» mais que je ne conseillerais pas pour le running Trop instables. Taille parfaite. Pour le prix on ne peut pas trop en demander non plus.</t>
  </si>
  <si>
    <t>Ne pas acheter. Arnaque ! C’est inadmissible. L’article est un copié d’un vrai T-shirt Underground Armour. Il s’agit d’une arnaque ! Il y a même une faute d’orthographe sur l’etiquette en espagnol</t>
  </si>
  <si>
    <t>change de fuseau horaire sans intervention vous regardez l'heure, vous dites: je suis en retard pour tel ou tel chose, et après vous remarquez que l'affichage du jour est dans une autre langue, et l’osque vous et que vous remettez les bons paramètres, vous avancez d'une heure ou plus! a par ce souci les paramètres change bien au changement d'heure été hiver.</t>
  </si>
  <si>
    <t>Prends une taille au dessus J’aime bien les baskets</t>
  </si>
  <si>
    <t>Excellent qualité prix Bouilloire pratique avec un temps de chauffe rapide et pas trop de bruit. La couleur bordeaux marron change des coloris classiques.</t>
  </si>
  <si>
    <t>Très bon produit Privé</t>
  </si>
  <si>
    <t>Sympa. Légère et confortable mais pas aéré. Rajouter une semelle intérieure.</t>
  </si>
  <si>
    <t>Très bonne qualité Ces câbles répondent parfaitement à l'attente que j'avais, je suis audiophile, je voulais de bons câbles pas trop cher pour une seconde installation hifi, ils sont parfaits. Son clair et riche.</t>
  </si>
  <si>
    <t>parfait conforme à leur description et à la photo un joli design, mais surtout très agréable, car elles sont super confortables</t>
  </si>
  <si>
    <t>Le confort absolu Pour voyager et marcher il est d un confort super!</t>
  </si>
  <si>
    <t>Parfait Tres bon produit</t>
  </si>
  <si>
    <t>Impec a voir dans le temps Bonne pointure</t>
  </si>
  <si>
    <t>Basket converse Correspond bien au descriptif.  Bonne qualité  et belle tenue.  je recommande cet article . La fille est ravie de ses baskets</t>
  </si>
  <si>
    <t>IMPECC NICKEL</t>
  </si>
  <si>
    <t>ras Ras</t>
  </si>
  <si>
    <t>Excellente table usage quotidien, attention prévoir un autre sac car qualité médiocre</t>
  </si>
  <si>
    <t>Très sympa Je viens juste de le recevoir et j'ai testé, ça marche bien et c'est très agréable. La lumière qui simule progressivement le levé du soleil du rouge pale au blanc intense, programmable de 10 à 60mn avant l'alarme de son chois (plusieurs sons prédéfinis ou radio de son choix) Bien aussi les réglages séparés affecté aux fonctions (son, alarme...) et le réglage endormissement avec lumière simulant le couché de soleil Manuel en français c'est bien ;-) Le seul point négatif, est que les radios se prérèglent automatiquement (il y en a 27 !) et que l'on ne peux les classer dans l'ordre que l'on veux. Mais bon... On verra pour le réveil en situation, après expériences. Mais très bon ressenti pour l'instant</t>
  </si>
  <si>
    <t>Original Bonjour,  Rien à redire, c'est des cartouches originales Canon, elle remplit donc bien ses fonctions et de bonne qualité pour moins cher que dans le commerce traditionnel.</t>
  </si>
  <si>
    <t>Bon produit je recommande</t>
  </si>
  <si>
    <t>bonne qualité conforme au descriptif et aux attentes</t>
  </si>
  <si>
    <t>son confort Idéal pour tous les jours</t>
  </si>
  <si>
    <t>C mignon J'aime beaucoup la manière dont la légende est racontée et l'on redécouvre un très grand nombre de héros de la mythologie grecque dans ce feuilleton. Contrairement à Ulysse où je me suis perdu, tout comme lui, dans ses allées et venues à travers les iles et les péripéties, cette histoire est un subtile mélange de douceur, d'émotions et de rebondissements</t>
  </si>
  <si>
    <t>Lacoste Super</t>
  </si>
  <si>
    <t>risque de brûlures A proscrire pour un usage familial avec enfants car réels risques de brûlures. Lorsque vous l'actionnez toute la bouilloire devient , brûlante  à part la poignée. Même au travail et étiquette de mise en garde, l'un de nous l'a bien regretté. Nous allons la remplacer à cause de ce principal défaut.</t>
  </si>
  <si>
    <t>Très déçu Pas fiable. Compte les pas même lorsque l’on ne marche pas !!!</t>
  </si>
  <si>
    <t>Nul Très déçu au bout de 3 fois porte le fermoir magnétique ne fonctionne plus. Je vous le déconseille</t>
  </si>
  <si>
    <t>Système de fixation trop complexe Qualité sans doute très bonne mais même pas essayé car trop de vis, de fils, de truc et machins à fixer mon smartphone devient une usine à gaz et perd l’intérêt de son côté pratique toujours à dispo dans la poche. Du coup retour pour ma part.</t>
  </si>
  <si>
    <t>pointure à revoire, je chausse du 47 commandé du 45 après 2 retours Bonjour, je suis très satisfait, elles sont classes et confortables pour des chaussures de sécurité !!! en revanche la pointure est a revoir, je chausse du 47 donc commandé du 47, trop grandes !!!!! je commande donc du 46 encore trop grandes et je finalise ma commande par du 45. quel gâchis, 3 livraisons, des frais de port et du temps ( 3 semaines) à faire des renvoient etc... conseil =&amp;gt; pointures au égale et supérieur à 45 =&amp;gt; - 2 pointures   pointure inférieur à 45 =&amp;gt; - 1 pointure</t>
  </si>
  <si>
    <t>conforme à l'annonce Le délai de livraison est rapide, produit tout à fait conforme à l'annonce, je recomande vivement, joli cuir qui va mettre utilse pour faire des collier avec pendebntifs en plastique fou</t>
  </si>
  <si>
    <t>Bien Bon débit pour le lait maternel, et artificiel, les tailles M sont trop rapides pour mon bébé. Par contre elle a du mal avec la forme</t>
  </si>
  <si>
    <t>Vraiment belle et moins chère qu'en bijouterie ou boutique fossil 37€ d'ecart Top classe élégante a voir dans le temps ai niveau fiabilité mais vraiment belle et originale... Et 40€ moins chère chez Amazone que dans la boutique fossil. Top livrée en, deux jours en plus</t>
  </si>
  <si>
    <t>Taille long Stretch et confortable prendre une taille en dessous.</t>
  </si>
  <si>
    <t>Pratique et agréable à porter Look sympa, léger et bien taillé, chaud et confortable, très satisfait</t>
  </si>
  <si>
    <t>Cher mais parfum tellement agreable et durable A utiliser pour le linge de maison tant son odeur est agréable. Prix trop cher à utiliser avec parcimonie, c'est pouquoi je le réserve  au linge de maison.</t>
  </si>
  <si>
    <t>EXCELLENT PRODUIT Economique, il a un excellent rapport qualité prix et mérite d être commandé en pack avec le papier WC. Un autre avantage étant que lorsque vous allez faire des courses en super marché l encombrement de tels produits est extrême alors qu ici il est livré, juste à stocker... CONSTAT Alors que d autres essuies tout ou papier toilettes ne conviennent pas pour laver les vitres ou glaces car peluchent, celui ci est formidable, ne pluche pas et juste avec un peu de vinaigre blanc permet de rendre une vitre comme neuve et sans effort.</t>
  </si>
  <si>
    <t>baskets sneakers idéales ,couleur fun§ J'ai acheté ces baskets pour mon fils de 18 ans qui les met pour sortir habillé en jeans ou en jogging.Il les trouve trop "classes" par sa couleur et son style. la taille 42 est conforme .et l'envoi s'est fait rapidement puisque je les ai reçues le 01/12 au lieu du 03/12! Bravo au vendeur pour son efficacité.</t>
  </si>
  <si>
    <t>Cadeau Acheté comme cadeau de fin d'année, ses acquéreurs en sont satisfait !</t>
  </si>
  <si>
    <t>Parfait! Je l'ai acheter Lundi et je l'ai recu Mardi! Impeccable livraison! Et le produit est aussi bien decrit, marche super bien sur mon Audio Technica AT2020, la housse est enorme! elle couvre tout le micro!! Superbe achat :D!</t>
  </si>
  <si>
    <t>Satisfait Malgré un retard a la livraison prévue suite un problème de transit du transporteur , je fus surpris par l'emballage plastique , craignant une vulnérabilité pour son contenant . Il n'en fut rien cette sacoche  est ce que j'attendais , bonne qualité de cuir , fabrication soignée, facilité de mise en place , poches bien adaptées et bon rangement Très bon produit, je le recommande</t>
  </si>
  <si>
    <t>MASSAGE DE PRO Très agréable et efficace, juste un peu lourd mais le résultat est là !</t>
  </si>
  <si>
    <t>Satisfaite Cet appareil de massage pied est conforme à la description sur Amazon. Il combinent la pression des doigts, le pétrissage, le rouleau, le grattage, coussin gonflable et une fonction de chauffage, offre un massage complet pour soulager la fatigue des pieds. Il a une protection contre la surchauffe et s’éteint automatiquement quand le temperature plus de 85 degrés. Il a 15 minutes de fonction d'arrêt automatique. Avec télécommande, on peut choisir le mode ou la force.  La couverture intérieure est amovible, elle est facile à nettoyer. La température de chauffage est réglable en 5 vitesses. Il utilise également une fonction de chauffage avancée pour soulager les tensions musculaires et favoriser la circulation du sang.</t>
  </si>
  <si>
    <t>super j'ai offert cette montre à ma fille de 15 ans, elle est super contente elle adore et je suis contente de mon achat</t>
  </si>
  <si>
    <t>impeccable j'ai acheté ce collier pour un cadeau à une amie - elle est enchantée</t>
  </si>
  <si>
    <t>Bon marqueur Très efficace sur le tableau en verre noir acheté chez le même fournisseur</t>
  </si>
  <si>
    <t>Bon qualité prix Basket conforme à sa description,qualité prix raisonnable tout les coutures sont bien cousu et la forme aussi et sympathique le seul problème que le basket n’arrive pas rapidement juste patienter deux à trois semaine sinon correct sur l'ensemble.</t>
  </si>
  <si>
    <t>au top !! coupe adapté, parfait pour camoufler quelques rondeurs !! La matière est sympa,  agréable à porter et la couleur correspond à la commande !!</t>
  </si>
  <si>
    <t>Excellente qualité / très bonne écoute Je pratique du Home Studio avec ce casque audio en amateur, et il est suffisant pour ce que je produis.  Il est très confortable pour les oreilles, il y a une excellente restitution sonore, il y a des accessoires pratiques, et pour le prix c'est une très bonne affaire. Je vous recommande vivement ce produit.</t>
  </si>
  <si>
    <t>Bof Pas sur qu'il y ait de l'effet sur moi.... A voir sur d'autres personnes. Reçu rapidement. Je le garde depuis des semaines dans ma poche rien n'a changé.</t>
  </si>
  <si>
    <t>Pas vraiment bon qualite Pas vraiment bon quality</t>
  </si>
  <si>
    <t>Contrefaçon Pas cher mais en fait ce sont des fausses. Honte à vous de tromper les clients. Il suffit de regarder la qualité pour s en rendre compte. Je vous les renvoie mais il y a tromperie sur la marque</t>
  </si>
  <si>
    <t>Excellent rapport qualité-prix Rien à redire sur la qualité de ce film alimentaire, seul bémol : il est arrivé sans le zip qui permet de le découper et cela reste très difficile de le faire sans ce petit complément à mettre au bord de la boite.</t>
  </si>
  <si>
    <t>bonne affaire , vu le prix ! c'est ma 2 eme paire en 4 ans</t>
  </si>
  <si>
    <t>Super rapport qualité prix! Je cherchais un pied de micro et je suis tombé la dessus. Je suis producteur de musique et j'ai l’habitude d'acheter du matériel pro pour mon studio d'enregistrement. Donc je ne me faisais pas trop d'illusions sur cette article. Bonne surprise le micro est pas si mal bien qu'un peut métallique et le pied tient bien. Attention ce micro nécessite une alimentation 48 Volts fournies que par les cartes sons pro.</t>
  </si>
  <si>
    <t>Un peu lourdes. C'était un cadeau mais la personne en est contente,. Bien qu'un peu lourdes et donc fatigantes pour une grande marche.</t>
  </si>
  <si>
    <t>Un zippo vintage Zippo a réédité cette version 1941. Il est un peu plus petit et arrondi que les modèles classiques, un léger look vintage. Les faces sont brossées et les cotés polis miroir. Toujours le petit clic typique à l'ouverture, et l'allumage au quart de tour. La marque est gravée discrètement sur la face avant et peaufine l'ensemble (la gravure ne se voit pas sur la photo utilisée sur le site). Si vous recherchez un briquet pas cher, sobre et rétro, il est vraiment sympa. Livré dans une petite boite cartonnée, ainsi qu'une fichette explicative sur les différences avec les briquets actuels de la marque. Sinon, n'oubliez pas l'essence pour pouvoir vous en servir ...</t>
  </si>
  <si>
    <t>produit bien coupé Produit bien coupé et qui semble de qualité.</t>
  </si>
  <si>
    <t>Ravie J adore ! ! ! !</t>
  </si>
  <si>
    <t>Claquettes sympa Claquettes confortables, un peu étroits mais elles se feront</t>
  </si>
  <si>
    <t>très confortable et légère en poids comme décrit</t>
  </si>
  <si>
    <t>Pas pour les douillets Ma compagne l'utilise pour son mal de dos, Ça fait un bien fou même si c'est à la limite de le douleur !</t>
  </si>
  <si>
    <t>Prendre la taille au dessus de la vôtre. Au départ c'était pour faire du sport mais j'ai  vite déchanté. Il taille une pointure en dessous de la taille désiré.</t>
  </si>
  <si>
    <t>ravie ravie</t>
  </si>
  <si>
    <t>La Rolls-Royce du casque gaming J’ai eu pendant 1 an l’ancienne version de ce casque dont j’étais moyennement satisfait sur la qualité ainsi que le son.  Ici j’ai été époustouflé de la qualité de finition du casque et la qualité audio réellement différente pour le gaming, nous avons vraiment une entreprise une société qui améliore nettement ses produits et prend en compte les erreurs du passé pour vous faire un casque GAMING d’excellente qualité.  Est-ce que je commanderais à nouveau à Astro ? Oui sans hésitation les yeux fermés.</t>
  </si>
  <si>
    <t>Un vrai bonheur Top, rien à dire de plus...</t>
  </si>
  <si>
    <t>Parfait Parfait pour mes  cours</t>
  </si>
  <si>
    <t>Bon produit Objet facile à monter et de bonne qualité. Je recommande ce produit. Je vous conseille un petit filtre anti pop comme sur ma photo pour une prise de son optimal</t>
  </si>
  <si>
    <t>Pinceaux Bons articles</t>
  </si>
  <si>
    <t>Entièrement conforme à  nos attentes. Très  efficace et pratique au quotidien. Le porte toast évite de se brûler avec les tartines grillées. Ergonomique et design il a parfaitement trouvé  sa place.</t>
  </si>
  <si>
    <t>Il ne bouge pas Vraiment parfait taille très bien.</t>
  </si>
  <si>
    <t>On en a pour son argent, rien de plus. Je me permets un avis sur ces chaussures car j'en ai pris 4 paires en quelques mois. Je pense donc avoir un avis éclairé de part l'expérience acquise. Ces sneakers sont jolies, sympas, confortables (sans exagération, mais sans inconfort probant non plus). Par contre, et c'est là le gros pb de ce modèle, c'est que le tissu se déchire SYSTEMATIQUEMENT au bout de quelques semaines au niveau du talon. Toutes mes paires ont eu le meme souci ... En gros, c'est de la m****. Mais c'est aussi peu cher. Donc ...</t>
  </si>
  <si>
    <t>Design sympa mais... Produit renvoyé car synchroniser sur une TV très récente, le bluetooth se deconnectait constamment. Par ailleurs contrairement a ce que j avais pu lire le son était loin d être qualitatif. De plus lorsque il était connecté le volume maximum était très très faible... Ça commence a faire beaucoup pour le prix....</t>
  </si>
  <si>
    <t>taille petit bonne chaussure , au départ le talon surprend un peu mais on si fais . par contre je vous conseil de prendre une voir deux taille au dessus car chausse petit . aussi non bon c'est un bon rapport qualité prix.</t>
  </si>
  <si>
    <t>Bof Je pensais qu’il y avait un goupillon biberon et un goupillon tétine mais non, il n’y a qu’un goupillon biberon qui d’apres eux peut également s’utiliser sur les tétines mais je n’ai pas encore testé</t>
  </si>
  <si>
    <t>génial chaussures reçues en temps et en heure, conformes au descriptif. Un vrai plaisir à porter, en même temps je connaissais déjà et je reste fidèle à la marque !</t>
  </si>
  <si>
    <t>Très content La bouilloire rempli bien son rôle. Utilisation intuitive. J'aurai seulement aimé pouvoir annuler la sonnerie que je trouve un peu forte.</t>
  </si>
  <si>
    <t>produit sans problème résistant apparemment livraison rapide pas de soucis à l'air solide</t>
  </si>
  <si>
    <t>satisfait mais peu mieux faire Produit de qualité déjà passé en machine et rien n'a bouger,plus un produit d'automne au d'hiver,la capuche n'est pas désagréable</t>
  </si>
  <si>
    <t>Rigide Très beau sac et bcp de poches. A vrai dire,  je suis tres satisfait et je le conseille à tout le monde. Brillant et lisse, il permet de ranger tous les papiers importants et portefeuille pour 1 voyage .</t>
  </si>
  <si>
    <t>brassiere parfait je ne mets plus que ca beaucoup mieux que les soutiens gorge la poitrine est parfaitement maintenue et la matiere est top</t>
  </si>
  <si>
    <t>Beau design Agréablement surprise par le design de cet objet .. il se marie très bien dans n importe quel intérieur ... la diffusion d huile essentielle est très agréable et à plusieurs niveaux d intensité .. la diffusion de coupe automatiquement après le temps souhaitée et les lumières sont très relaxante .. parfait dans n importe quelle pièce de la maison pour purifier l air ou juste apporter une odeur agréable ...</t>
  </si>
  <si>
    <t>Tres chaud Super confortables, bien chauds pour l'hiver et ils tiennent bien aux pieds! Niveau qualité  rien a dire ,ils sont top belle finitions</t>
  </si>
  <si>
    <t>parfait ALORS LA RIEN A DIRE C TRO BIEN</t>
  </si>
  <si>
    <t>Bonne qualité j'ai acheté ce produit pour mon fils qui va commencer à faire des peintures très bon produit on va tester sa rapidement</t>
  </si>
  <si>
    <t>Bien Bien  a l'aise et type sports</t>
  </si>
  <si>
    <t>Parfaite pour lait + farine On les utilise depuis longtemps (2 enfants) et elles sont très résistantes. Les taille 4 sont idéales quand on rajoute des farines dedans.</t>
  </si>
  <si>
    <t>Très bon article Impeccable ! La sacoche se porte avec tout, pratique et peu encombrante elle correspond à mes attentes. Je vous la recommande.</t>
  </si>
  <si>
    <t>Excellent intra Après 1 semaine d'essai de ces oreillettes je les ai adopter. Après réglage du son via mon note 10+ et via l'appli sony j'ai le son qui me correspond à ce que j'aime et les intra reproduise fierement ce bon son que je trouvez sur des casques de grandes marque très réputées.  La batterie tient ça promesse avec une tenue de plus de 6 h sans rien activer. Aucun problème de connection avec le téléphone pendant les écoutes. Un réducteur de bruit excellent et qui à était améliorer avec la mise à jour du 27 aout.  Ces intra arrive à produire un excellent son avec une tenu en oreille impeccable, une tenu de batterie excellente pour des intra (1 journée entière et plus via la boite).  Je mettrais à jour mon avis si je découvre des soucis. J'espère que Sony va continuer à mettre à jour le produit pour régler les soucis qu'il y'a pour certains.</t>
  </si>
  <si>
    <t>Satisfait ! Je suis satisfait du produit. Il est très beau et pratique.</t>
  </si>
  <si>
    <t>Facile à prendre en main, répond au besoin Livré avec un petit rouleau de labels. Compatible avec les rubans D1 vendu par Unistar. Prise en main facile - ma fille de 6 ans peu étiqueter ses affaires toute seule. Au démarrage le ruban se bloque mais c'est juste que nous avons pas encore compris la longueur minimale qui doit dépasser avec un nouveau ruban (pas de problème de bourrage avec un ruban déjà installé).</t>
  </si>
  <si>
    <t>Radio pilotée et solaire Elle correspond parfaitement à mes attentes tant esthétiques que techniques.</t>
  </si>
  <si>
    <t>Le bracelet s'adapte parfaitement! Il est de bonne qualité et est très facile a mettre grâce aux outils fournit avec. Je recommande!</t>
  </si>
  <si>
    <t>Baskets temps des cerises Bonnes chaussures correspondent bien à la taille indiquée.</t>
  </si>
  <si>
    <t>Ne vaut pas plus que son prix soldé Joli montre mais qualité cohérente avec le prix de 27 €. Quand on voit le prix de départ de 133 €, on se dit quand même que les acheteurs qui ont payés ce prix (s'ils existent) se sont bien fait avoir. Les boutons semblent inopérants pour les fonctions qu'ils commandes mais fonctionnent quand mm, c'est juste qu'il n'y a aucune sensation d'appui. Le bracelet est réglable mais l'outil fourni se tord car les tiges métalliques devant être déboitées sont difficiles à déloger. La fermeture semble assez légère et fragile. Maintenant il faut reconnaître que la montre fait son effet en terme de visuel et à ce prix il n'y a rien à dire. Mais elle ne vaut pas plus. Je rajoute également que le revêtement s’efface malgré une utilisation occasionnelle (voir photo), sachant que je ne l’ai que depuis fin juin.</t>
  </si>
  <si>
    <t>cartouche encre HP 62 pack grosse arnaque je viens d’ouvrir et placer ma cartouche couleur et elle est vide, j’ouvre la seconde du pack de réserve et vide également !</t>
  </si>
  <si>
    <t>Déçu Déçu de la qualité après coup après 1mois d utilisation je me rend compte que l écusson de côté du sigle converse s efface je doute donc de l originalité du produit</t>
  </si>
  <si>
    <t>Fait le job, sans plus Pour aller droit au but, j'ai acheté un produit "recommandé par Amazon" et c'est bof sans plus. Ok il fait le job, mais ma fille à eu des allergies aux oreilles et visage... à cause du casque. Il vaut mieux mettre un peu plus et prendre un JBL T450 (ou 460), le son est là très bon, il est très confortable, etc...</t>
  </si>
  <si>
    <t>Longueur ok mais taille trop basse Qualité très correcte, livraison dans les dé,avis. La longueur est bonne mais ce pantalon est mal coupé, c’est une taille très basse, trop basse.</t>
  </si>
  <si>
    <t>bien bien</t>
  </si>
  <si>
    <t>satisfaite de ce collier c’est un collier qui repond a mes attentes en matiere de solidite . il est simple a mettre en plus d’etre beau. mon fils le porte depuis une semaine et il a 4 mois. mon premier en avait un egalement et il a fait ses dents sans difficultes.</t>
  </si>
  <si>
    <t>Long mais bon ^^ Long à la chauffe mais conserve tous les nutriments, Conforme au descriptif et à la photo, de bonne qualité, satisfait de mon achat,</t>
  </si>
  <si>
    <t>Un basique Cette bouilloire est assez basique. Je l'ai acheté pour l'installer sur mon lieu de travail et remplit bien ses fonctions. Cependant, elle donne une impression très plastique, et ça me gènerais à la longue. Elle est très simple d'uilisation et très intuitive, le manuel est presque inutile. Le cordon est assez long même si comme toujours j'aurais préféré que ce soit plus.</t>
  </si>
  <si>
    <t>Tout chou!! J'adore!!! En général je ne suis pas fan de ces grosses pierres bleues en forme de cœur, mais là le cœur n'est pas trop grand et le koala est aussi dessus. Donc pas trop imposant!!!  Je suis satisfaite de ce collier que j'offrirai à ma filleule. Le + la boite en écrin et le petit chiffon de nettoyage. Reste à voir la qualité avec le temps...  Je recommande complètement ce produit</t>
  </si>
  <si>
    <t>très jolie superbe plus beau que sur la photo</t>
  </si>
  <si>
    <t>Recharge J'achète ces recharges pour mes enfants et moi, pour mes enfants pour l'école et pour moi pour la couture. Le stylo s'efface à la chaleur, donc pratique pour la couture pour tracer sur le tissus, il s'efface au fer au repasser. Pour mes enfants ils aiment le fait que ça s'efface avec une gomme prévu pour ces stylos.</t>
  </si>
  <si>
    <t>Un objet devenu indispensable à la maison Nous nous en servons presque quotidiennement et il m'a évité quelques séances chez le chiropracteur en détendant les muscles du bas du dos. Il est un peu bruyant, mais ce n'est pas gênant même en regardant la télé.</t>
  </si>
  <si>
    <t>Une jolie casque avec bon qualité Agréablement surpris par ce casque Le casque est très agréable à utiliser, il est léger, le qualité du son est très bonne. La connectivité bluetooth permet de ne pas avoir de cable, et cela est très pratique. Je recommande.</t>
  </si>
  <si>
    <t>Bon pour certaines prises. Evite des reflets vers le microphone, c'est pas une cabine mais le prix n'est pas le meme!</t>
  </si>
  <si>
    <t>Superbes Anneaux de belle qualité pour un prix modeste.</t>
  </si>
  <si>
    <t>Fini les douleurs Un bonheur pour les lombaires!!!! Chauffe facilement au micro onde et diffuse une chaleur pendant un petit moment. Mieux que les poches de gel à mon goût!</t>
  </si>
  <si>
    <t>feutre feutre</t>
  </si>
  <si>
    <t>Repond a mes attentes meme plus avec le truc pour découper les angles Superbe plastifieuse !  Je recommande +++++ 👍</t>
  </si>
  <si>
    <t>Bon produit Le bracelet est joli, c’était un cadeau pour une amie qui l’a beaucoup apprécié. J’aime beaucoup l’arbre de vie au milieu. Livraison très rapide comme indiquée.</t>
  </si>
  <si>
    <t>Bien pour enfant Acheté pour offrir à un enfant. Les pierres ont l'air belles et variées, mais assez petites. Le descriptif précise les dimensions de la boite : 12 x 10 cm. Ce qui fait 12 compartiments d'environ 3 X 3 cm. La variété des petites pierres permet de commencer une collection pour un enfant. Donc, bon produit.</t>
  </si>
  <si>
    <t>Enfin des tennis pour pieds larges Enfin des tennis adaptées aux pieds larges et de pointure supérieure au 47 !!! Souvent on ne trouve pas des chaussures adaptées au pieds larges dans des pointures supérieures au 47. Résultat obligés de commander 2 pointures au dessus ce qui est également très difficile à trouver sur internet et quasiment impossible même dans des magasins spécialisés</t>
  </si>
  <si>
    <t>un grand classique - toujours aussi efficace l'arme absolue près des litières des chats. nul besoin de le faire brûler pour que le papier d'arménie soit déjà efficace</t>
  </si>
  <si>
    <t>bof trop juste en taille, ne monte pas assez au niveau du ventre.</t>
  </si>
  <si>
    <t>Sac bandoulière C'est un sac trop grand et pas trop solide</t>
  </si>
  <si>
    <t>C décevant C beau comme sac mais la qualité pas terrible la ceinture tu peux pas le serrer et ça descend tt seul vu le prix c est pas donné</t>
  </si>
  <si>
    <t>Un peu trop masculin pour moi Finalement, trop lourd et masculin à mon goût.  J'ai un trop petit poignet pour ce type de bracelet.  Dommage car c'est exactement le type de fermeture que je cherchais pour ma montre charge 2.</t>
  </si>
  <si>
    <t>Produit de bonne qualité J ai acheté ce produit car partant en vacances et ne pouvant plus m exposer Trop au soleil, j ai donc acheté ce produit qui est très agréable à porter.</t>
  </si>
  <si>
    <t>De la qualité digne de Bose. Très bonne qualité, que ce soit sonore, qu'esthétique, je le porte presque tout au long de la journée, parfois j'oublie qu'il sont là.</t>
  </si>
  <si>
    <t>Fait le job, mais pourrait mieux faire Bien qu'elle soit un peu trop massive pour moi (= lourde et encombrante), elle est agréable à utiliser. Par contre, l'interface pourrait être largement améliorée, avec des modes de saisie optimisée : j'aurai aimé que les derniers caractères spéciaux utilisés soient affichés en premier, au lieu d'avoir à chaque fois besoin de les chercher à la 5eme ligne, 3eme colonne :-(</t>
  </si>
  <si>
    <t>Bien Joli lot d'huiles essentielles, bien présenté, flacons solides et plutôt biens remplis à la réception. Je n'aime pas forcément toutes les odeurs (arbre à thé par exemple), et certaines sont moins concentrées que d'autres, il faudra donc en mettre un peu plus dans le diffuseur.</t>
  </si>
  <si>
    <t>Excellent rapport qualité/ prix Usage courant Très compacts et jolis</t>
  </si>
  <si>
    <t>Excellent Pour une première expérience, je les trouve parfaits  vraiment j'étais septique mais la qualité est là (en utilisant galaxy wearable) et l'esthétique est vraiment bien 😊</t>
  </si>
  <si>
    <t>Des oreillettes bluetooth idéales pour le sport Ces écouteurs bluetooth sont de bonne qualité. Livrés avec leur boitier de recharge, très pratique pour prolonger l'autonomie de la batterie. Ces écouteurs sont compatibles bluetooth 5.0. Une fonction réduction de bruit est présente. De plus ils sont étanches donc parfaitement résistants à la transpiration. Un micro est présent sur ces écouteurs. L'autonomie de ces écouteurs est très bonne. Bref, après plusieurs jours de test ces écouteurs sont idéaux pour le sport. Je recommande vivement.</t>
  </si>
  <si>
    <t>Intemporel Fidèle à la marque</t>
  </si>
  <si>
    <t>Top Parfaite ! Prix imbattable ! Un classique ! Le produit que j'ai reçu est bien authentique</t>
  </si>
  <si>
    <t>Bel article Belles boucles, élégantes en argent et perle avec un liséré doré. Livrées rapidement. Super en cette période de fêtes.</t>
  </si>
  <si>
    <t>Très satisfaite Très beau pendentif avec sa chaîne ! Bonne qualité Une belle idée de cadeau à petit Prix Fait son effet</t>
  </si>
  <si>
    <t>Casque d'écoute stéréo :  Gritin in Ear Casque stéréo métallique super juste Whaooo !!! Le son TOP on se croirait dans une salle de ciné avec le son - ciné !!! très bon casque que je recommande et je vais attendre un peu l'essayer plus, quelques jours et si je suis encore satisfaite, j'en rachèterai un autre même deux surement; Et puis Quel Prix !!! ha oui j'oubliais envoyé avec son petit sac noir mignon tout plein !!! très trop contente !!! ha oui aussi envoie parfait!!!</t>
  </si>
  <si>
    <t>Bien Ça va</t>
  </si>
  <si>
    <t>Chaussures de sécurité Bonne qualité. Anti dérapant, coque de sécurité. Très bien pour bosser</t>
  </si>
  <si>
    <t>Très bonne paire de bottes Confortable</t>
  </si>
  <si>
    <t>Très bien J'ai commandé du 100E, taille très bien. Je l'utilise pour le sport, très agréable.</t>
  </si>
  <si>
    <t>Que du bonheur ! &lt;div id="video-block-R1R3SJLI7IJVQY" class="a-section a-spacing-small a-spacing-top-mini video-block"&gt;&lt;/div&gt;&lt;input type="hidden" name="" value="https://images-eu.ssl-images-amazon.com/images/I/A1TcrunpjIS.mp4" class="video-url"&gt;&lt;input type="hidden" name="" value="https://images-eu.ssl-images-amazon.com/images/I/81triRza4XS.png" class="video-slate-img-url"&gt;&amp;nbsp;Etant commercial itinérant, et donc marchant beaucoup tout au long de la journée, mes pieds me faisaient mal. Je me suis procuré ce masseur de pieds depuis 4 jours et je suis content, surtout mes pieds.  L'appareil est facile d'utilisation, il suffit de le brancher et de choisir le niveau de pression. 2 types de massages, soit par roulette, soit par pression. Il y a également un mode chaleur qui permet d'apaiser les pieds. Que du bonheur.  Un petit reproche, il faut s'habituer au masseur car au début il peut faire mal en massant fort, question d'habitude.  Sinon je suis tout a fait satisfait de cette machine</t>
  </si>
  <si>
    <t>Belle évolution Je viens de remplacer mon ancienne imprimante brother après 10ans de fidèles services il était temps de changer.  Je dois dire que je suis toujorus aussi content de Brother, le gros plus est la fonctionnalité R/V.</t>
  </si>
  <si>
    <t>efficace J'ai utilisé une fois ce produit. Il nettoie bien.</t>
  </si>
  <si>
    <t>Se vide à toute vitesse impossible de faire 400 pages avec. Si l'on en imprime 200, c'est bien le bout du monde. Bientôt des tests indépendants sur les cartouches d'encre constructeur, comme avec les moteurs diesel ? Pourquoi avoir toujours besoin de mentir pour vendre un produit ?</t>
  </si>
  <si>
    <t>Déçu... produit defectueux. Je ne sais pas comment se fait-t-il que les commentaires soient aussi bons, mais je suis assez déçu de ces écouteurs pour ma part.  Premièrement, l’écouteur droit à tendance à grésiller. Le produit me semble defectueux... est-ce que je peux demander un remboursement ?  Ensuite, niveau praricité c’est très moyen. Le cable est très long. Il se prend partout, et m’arrive presque au niveau des genoux quand je suis debout et que je tiens mon portable dans les mains pour une utilisation normale.  Aussi, la molette volume est pas pratique non plus. Je pensais que ce serait des boutons qui contrôlent directement le volume du smartphone. Cependant c’est indépendant. Je dois contrôler le volume de l’appareil et le volume des écouteurs...  Point positif, la mousse est très innovante et donne un super rendu d’isolation, et de confort ! Dommage pour tous ces points négatifs...  [EDIT] Bon, finalement, l’écouteur qui grésillait a finit par lâcher. Un jour et demie d’utilisation.</t>
  </si>
  <si>
    <t>Se décolle assez vite sur la durée Avis mitigé parce que sur le moment cela adhére plutôt bien mais sur la durée il faudra passer par la case "à remplacer" voilà sinon cela dépanne très bien et j'en ai toujours à la maison</t>
  </si>
  <si>
    <t>Étiquettes pour impression de timbres Pour editer les timbres sur le site de la poste mais à l'impression les timbres ne sont pas tout à fait entiers</t>
  </si>
  <si>
    <t>Produit correct Sur les 3 paquets, j'en ai reçu un qui était percé (2 trous dans le bas du sachet). Il manquait quand même 100 grammes. Sinon les autres produits font bien leur poids, 514 grammes (doseur et sachet plastique compris)</t>
  </si>
  <si>
    <t>Produit tout à fait correct Voilà des écouteurs sans fils de la marque UMI livrés dans leur coffret avec un câble USB fourni. Pour information, nous les avons testés, avec ma fille, sur iPhone et nous possédons par ailleurs les fameux Earpods de la marque à la pomme...  POINTS POSITIFS et CARACTERISTIQUES : - Ils sont beaux et le boitier reçu fait "chic" : très bonne impression à la réception. - La connexion au téléphone s'est faite en toute simplicité et rapidement. A peine les écouteurs sortis de leur boitier, ils sont détectés par le téléphone. Pour les connecter, rien de plus simple : aller dans "réglages" puis "Bluetooth" et sélectionner "W Wireless earphone". Et c'est fait... - Pour connecter ces écouteurs, il faut les sortir du boitier et pas seulement l'ouvrir. - Ces écouteurs, à la différence des EarPods, sont utilisables avec tous types de téléphones portables et pas seulement avec des Apple. - Chaque écouteurs possèdent plusieurs fonctions et pas seulement une seule contrairement aux EarPods. Par exemple, 1 clic sur n'importe lequel des écouteurs met la musique en pause, 1 nouveau clic la fait re-démarrer. 2 clics successifs rapides sur l'écouteur gauche permet d'augmenter le son,  3 clics successifs rapides sur ce même écouteur, de le baisser. Sur l'écouteur droit, vous aurez les mêmes possibilités mais en faisant l'inverse... - Le temps de charge du boitier est d'environ 60 minutes. - La mise en place des écouteurs se fait sans difficultés et ceux-ci tiennent plutôt bien en place mais nous les avons trouvé un peu moins confortables "à porter" que les EarPods. - Sur le boitier, vous trouverez 3 point lumineux. Celui du milieu concerne le boitier et témoigne de son chargement. Les 2 autres points lumineux (à droite et à gauche) témoignent de la charge de chacun des 2 écouteurs. Pratique et bien pensé. - Sur votre écran de téléphone, en haut à droite, un symbole "casque" atteste de la connexion des écouteurs : cela signifie que cela fonctionne parfaitement. Un autre symbole, une barre verticale, placé juste à coté du casque, reflète le niveau de charge des écouteurs. - Vous avez également le niveau de charge de la batterie qui s'affiche en pourcentage sur votre écran de téléphone (dans les informations) : ex. 100%... Et là, on est bien précis ! - Même si on enlève 1 seul écouteur, la musique continue de jouer dans l'écouteur resté en place. Avec les EarPods, la musique se coupe totalement lorsque l'on retire ne serait-ce qu'1 seul des écouteurs. - La "couverture" des bruits environnants est tout à fait correct même si elle est un peu moins bonne qu'avec les EarPods d'Apple. Mais c'est déjà très bien... - La charge du boitier se fait simplement : il suffit de brancher le câble fourni sur celui-ci et connecter l'autre embout sur un ordinateur via le port USB.  POINTS NEGATIFS : - Attention de bien faire correspondre les petits capteurs des écouteurs à ceux présents dans le boiter quand vous les ranger pour les charger. Il y a un système d'aimant mais parfois cela ne tombe "pas pile" et alors la charge ne se fait pas en raison d'un mauvais contact. Il faut juste rester un peu vigilant sur ce point. Un point lumineux (bleu ou rouge) sur les écouteurs ou sur le boitier est signe d'une bonne adéquation entre les capteurs. -  Concernant le témoin de charge centrale (du boitier), s'il est bleu, le boitier est chargé entre 30% et 100%, s'il est rouge, le boitier est chargé à moins de 30%. Ce n'est pas plus précis que cela ! Donc, quand c'est rouge, il est conseillé de le mettre à charger... Idem pour les écouteurs, si leur témoin lumineux sur le boitier est rouge, ils sont alors à recharger... - Le son est bon, clair et précis mais nous l'avons trouvé "moins "enveloppant", moins "cocon" qu'avec les écouteurs Apple. - Il vous faudra acquérir une prise secteur avec un port USB si vous souhaitez recharger le boitier sur secteur. Il n'y en a pas de fourni. Dommage...  AU FINAL : Des écouteurs d'une qualité tout à fait correct et qui font du bon boulot. Le soucis est que nous ne disposons pas de leur prix, il est donc difficile de se prononcer sur le rapport qualité/prix de cet équipement. S'ils valent autour de 50/60€, alors ils sont particulièrement compétitifs. S'ils avoisinent le prix des EarPods, alors j'orienterai mon choix plutôt vers les Apple si je devais en acheter. Il nous manque donc une information essentielle pour être plus précis sur ce point...</t>
  </si>
  <si>
    <t>Bon rapport qualité/prix Acheté il y a peu donc pas encore testé sous toutes ses coutures, mais pour l'usage quotidien dont j'avais besoin, est très correct pour son prix. Pas le meilleurs confort que j'ai pu avoir (le contact sur les oreilles est un peu trop présent) et l'arceau à une forme étrange (pas assez près du crane à mon gout) mais se connecte facilement aux périphériques, une fois le coup de main pris le changement de chansons, pause... est intuitif et le son est vraiment pas mal compte tenu du prix je m'attendais à bien moins que ça.</t>
  </si>
  <si>
    <t>Chaussons chat J’ai acheté ces chaussons pour une de mes filles lorsqu’elle dormira à la maison. Elle aime les chats. J’espère que cela lui plaira et qu’elle les trouvera confortables</t>
  </si>
  <si>
    <t>Excellent Comme il a été décrit, ça fonctionne parfaitement avec l'adaptateur livré avec iPhone 8. J’ai mis quatre étoiles à cause de la fragilité du câble.</t>
  </si>
  <si>
    <t>Discret et joli J’ai reçu le bracelet dans les temps même si Amazon le considère en retard voir perdu.. Il est personnalisé avec mes choix et cela rend bien même si ce n’est pas gravé.</t>
  </si>
  <si>
    <t>Efficace Très content</t>
  </si>
  <si>
    <t>Genial Génial.  Pratique . Gain de temps n température idéal pour bébé en 3 seconde . Génial pour réchauffer aussi biberon et petit pot . Boite pour stériliser en plus super pratique avec pas mal de place . Je recommande</t>
  </si>
  <si>
    <t>Super Très bonne tétines</t>
  </si>
  <si>
    <t>pas cher et superbe! j'ai pris du 42 pour ma fille qui fait du 41,5 et c'est parfait. 42 euro pour des gazelles, autant dire que c'est cadeau! elle est tres contente et les chaussures sont tres belles.</t>
  </si>
  <si>
    <t>CONVERSE BLANCHES T 37.5 Superbes ! Jamais déçue par cette marque ! la photo correspond bien au modèle. Livré dans les délais. Dans la boite d'origine. Je fais du 38, j'ai suivi les recommandations des acheteurs et j'ai commandé une 1/2 taille en dessous. C'est ce qu'il faut. Je ne sais pas si la taille 37 m'aurait convenu (le 37.5 est très très légèrement trop grand, quoique...) mais ayant déjà essayé du 37 CONVERSE dans des magasins, il chaussait trop petit pour moi. Je suis ravie de mon achat !</t>
  </si>
  <si>
    <t>Pas d'odeur, belle couleur Le style a l'air bien, pas d'odeur. Les couleurs sont belles et le style est généreux. Le tissu est élastique. Livraison rapide. Cinq étoiles,</t>
  </si>
  <si>
    <t>Que du plus article et livraison Conforme à la description</t>
  </si>
  <si>
    <t>Collier et bracelet or blanc Arriver en retard mais sa valait le coup d'attendre. Maintenant j'espère que l'ensemble va plaire ma nièce pour son anniversaire</t>
  </si>
  <si>
    <t>Impec Nickel déjà 5 ou 6 lavages et sèche linge, il ne rétrécit pas, ne s abîmé pas bref bonne qualité comparé à certains sweet discount qui perde 2 tailles en un lavage</t>
  </si>
  <si>
    <t>Très délicate et délicate. J'aime beaucoup ce bracelet en argent. Tout d’abord, le bracelet lui-même est vraiment magnifique. Je dois dire que c'est l'accessoire de bijoux parfait. C'est lisse et confortable à porter. Deuxièmement, il était emballé dans une boîte à bijoux avec un sac en velours séparé à l'intérieur. L'emballage est assez satisfaisant. Enfin, je suis très content de cet achat. Recommande fortement.</t>
  </si>
  <si>
    <t>Superbe ensemble pendentif et boucles d'oreilles Cadeau fait à moi même pour mon anniversaire. Le pendentif et les boucles d'oreilles sont magnifiques. Je ne suis pas déçu. Le bijoux est vendu avec un petit tissus pour nettoyer. Livré dans un jolie écrin.</t>
  </si>
  <si>
    <t>Des bons moments en perspective. Ma petite fille qui a 2 ans adore</t>
  </si>
  <si>
    <t>montre génial cette montre est très efficace le seul reproche que je lui ferait : elle n'est pas étanche donc pas de bain ,pas de piscine ni de plage</t>
  </si>
  <si>
    <t>maniables et de bonne qualité Un vrai plaisir : alors que mes précédents écouteurs souffraient d'être transportées dans un sac, celle-ci tiennent la route : elles se replient d'elles-mêmes, trouvent la forme nécessaire. Sinon, rien à dire sur le son, qui est ample et tout à fait correct, y compris pour autre chose que des gros beats et des grosses basses.Tout à fait correct pour un produit de cette gamme. Belle finition, pas étonnant que je vois souvent des gens avec le même modèle dans la rue...</t>
  </si>
  <si>
    <t>Pas trop aimé... J'ai les mêmes en blanches qui me vont parfaitement et que j'ai achetées à de nombreuses reprises. J'ai voulu essayer en noir mais les noires me semblent plus étroites et du coup bien moins confortables, ou alors c'est le cuir qui est moins souple. Pour le style, elles ne font pas féminines du tout. Bref un effet assez moche. Je les ai renvoyées. Je les conseille en blanc.</t>
  </si>
  <si>
    <t>Défectueux Les petites branches permettant de tenir les écouteurs sont arrivés cassées donc je n' ai pas vraiment pu essayer le produit</t>
  </si>
  <si>
    <t>sennheiser RS5000 Bonjour,  Les embouts sont trop gros Une douleur à l'oreille apparait lorsqu'on l'utilise trop longtemps 1 heure max Bonne qualité Son correct</t>
  </si>
  <si>
    <t>ras galbe bien les mollets et les cuisses</t>
  </si>
  <si>
    <t>Bien Correct</t>
  </si>
  <si>
    <t>Satisfaisant mais problème de taille C'est un bel ensemble de survêtement mais il taille un peu grand, j'ai commandé du M pour être certains, je fais du L normalement et c'est limite encore un peu grand.</t>
  </si>
  <si>
    <t>Sweat Goldman homme C'est un joli sweat pour porter en mi-saison, il correspond bien à ce que je voulais. Couleur, taille, sont juste (attention il taille assez grand,) je prends M habituellement mais le S a suffit. Je l'ai lavé et il n'a pas bougé, donc bon achat.</t>
  </si>
  <si>
    <t>Son équilibré Ce casque circum-aural englobe bien les oreilles. Le port du casque est confortable (arceaux réglables) et les oreillettes isolent bien du bruit extérieur. La finition est superbe mais les boutons de commande sont petits et difficiles à distinguer à l'aveugle.  L'appairage bluetooth est traditionnel. Le son est vraiment bon, les basses un peu moins présentes que sur le JBL Live 400 plus pêchu mais le son est harmonieux. Testé avec plusieurs musiques (Coldplay, Brigitte, Datfpunk, Dire Straits), le son est vraiment bon.  L'application my JBL Headphones permet d'égaliser le son en fonction du type de musique (Jazz, Vocal, Bass, ...). Elle permet aussi de choisir son assistant vocal (Google ou Alexa) que vous pouvez "appelez" en appuyant sur l'écouteur gauche.  Vous pouvez ainsi faire des recherches sur internet, les mains dans les poches ou piloter vos lumières si vous avez paramétrer ses fonctions dans les applications respectives.  Un cable de charge orange est fourni ainsi qu'un cable audio tressé mas pas de pochette textile comme annoncée.  Un bon casque circum aural.</t>
  </si>
  <si>
    <t>Compact et fiable Acheté pour mon père qui se plaignait d'avoir froid au ventre la nuit dans son EPHAD. Remplit parfaitement son rôle d'après lui avec un bouton de réglage assez gros et progressif.</t>
  </si>
  <si>
    <t>Bien utile Bien utile</t>
  </si>
  <si>
    <t>tic-tac silencieux Voici une montre qui me convient tout à fait, sobre, pratique, solide, et tout à fait mon style, plus jamais en retard;</t>
  </si>
  <si>
    <t>Hyper confortable Il a un super maintien pour un soutien sans armature, très confortable à porter et facile à adapter si besoin. Je le recommande.</t>
  </si>
  <si>
    <t>Catouche Je suis très satisfaite de ce produit  ,il est conforme a la description et je  vous le recommande très vivement</t>
  </si>
  <si>
    <t>Classe et la qualité bien présente J'ai pris ce bracelet en marron pour mon copain et il l'adore. Celle ci est livrée dans une petite boite noire, simple mais très jolie et qui permet d'être réutilisée pour ranger le bracelet si besoin. Le bracelet est en cuir et très bien fini et souple, j'ai pu remarquer que portée sur le poignet de mon copain elle donne un style très élégant et classe, la couleur change du noir et reste assez sobre pour pouvoir s'accorder parfaitement à différentes couleurs de chemises ou de pull. Le bracelet est d'excellente qualité, cela fait déjà un moment qu'il le porte et elle ne présente aucun signe d'usure. Je recommande fortement ce produit. Je pense même en reprendre un pour offrir à Noel.</t>
  </si>
  <si>
    <t>excellent produit pour fosses septiques et toutes eaux Pour toute personne isolée en province ,qui n'a pas la chance de posséder letout à l'égout, Ce produit que j'ai testé et comparé à d'autres produits similaires est parfait. Que ce soit pour une fosse septique ou fosse toutes eaux, il supprime les risques d'engorgement et les mauvaises odeurs. Ce très bon produit à employer tous les six mois est à conseiller,et ceci à un prix raisonnable. Claude72</t>
  </si>
  <si>
    <t>Confortable Très confortable facile entretien taille conforme...correspond à  la photo...Je recommande .</t>
  </si>
  <si>
    <t>parfait mais taille petit perfect juste prendre une taille plus grande que la sienne. je fais un bon 39 et j'ai pris du 40 ca me va tout juste</t>
  </si>
  <si>
    <t>parfait le casque est exactement ce que je voulais, il réponds à mes attentes. Livraison parfaite comme prévue.</t>
  </si>
  <si>
    <t>Parfait Parfait pour des impressions tout types. Ma fille en est ravie.. Parfait pour obtenir des photos de toute ses vedettes. Merci Amazon</t>
  </si>
  <si>
    <t>Idéal pour apprendre à lire Parfait</t>
  </si>
  <si>
    <t>Rapport qualité prix excellent Pratique grande capacité</t>
  </si>
  <si>
    <t>bon produit Ce sac convient très bien à mon usage, à savoir transporter une tablette 10 pouces et un casque audio. 2 petites poches utile à l'intérieur qui permettent de transporter un chiffon pour la tablette. Très léger mais solide.</t>
  </si>
  <si>
    <t>Chaussettes de très bonne qualité J'emploie ces chaussettes pour le ski et le ski de randonnée. Elles sont chaudes et agréables à porter. Il y a des bandes rembourrées pour protéger le tibia. Et c'est fabriqué en Europe.</t>
  </si>
  <si>
    <t>Jolies boucles d'oreilles Offertes à ma fille pour ses 11 ans avec le collier assorti. L'ensemble lui a beaucoup plu. Bonne qualité. La petite boite d'emballage est très sympa. Je recommande...</t>
  </si>
  <si>
    <t>brosse beaucoup trop souple brosse très souple, on a l'impression de ne pas nettoyer et de plus perso j'ai peur que le centre en métal abîme mes biberons tellement le poil est trop souple !!!le nettoie tetine ne tien pas tres bien et quand vous nettoyer le corps il tombe, de plus la tête s’abîme très vite</t>
  </si>
  <si>
    <t>Mauvaise qualité Taille grand, semble faux</t>
  </si>
  <si>
    <t>H.S après 6 mois d'utilisation l'écouteur gauche n’émet plus de son, article renvoyer chez Samsung pour réparation, à suivre...</t>
  </si>
  <si>
    <t>Bon niveau Je trouve que ce n'est pas les mêmes que l'on reçoit avec les portables</t>
  </si>
  <si>
    <t>Premières impressions Dodie -Tétine Sensation+ plate col large 0-6 mois silicone débit 2 acheté 3.94e par Amazon, livrée sous 48h. Il a deux tétines dans le paquet. Je le reçois aujourd'hui donc que 3 étoiles car "j'aime", le produit étant conforme à ce que j'ai commandé, à voir à l'usage. Sur conseil de la vendeuse orchestra j'ai acheté que le débit 1 et 2, les débit 3 et 4 étant vraiment quand on passe à du très consistant.</t>
  </si>
  <si>
    <t>A voir avec le temps Bien sans plus</t>
  </si>
  <si>
    <t>Lecture seul Je voulais plusieurs livres pour mon enfant pour la lecture qu il puisse lire tout seul ces livres sont bien adaptés.</t>
  </si>
  <si>
    <t>Sans surprise Ce papier de marque connue est efficace....doux et le packaging par 12 est économique. Il est supérieur aux no name qu'on peut trouver dans les supermarchés</t>
  </si>
  <si>
    <t>Appréciable moteurs un peu bruyant notamment lors du massage des cervicales 2x 2 boules, toutes de la même taille 1 adaptateur secteur + 1 adaptateur allume-cigares  1 seul programme pour des séances de 20' avec changement de sens de rotation toutes les 1' bouton ON/OFF qui permet aussi d'allumer/éteindre les boules, donc le chauffage, dans interrompre le programme de 20'. Pression longue pour interrompre le programme.  pour 27€ en vente-flash c'est top je me demande ce qu'apportent en plus ou en moins les models a 2x4 boules</t>
  </si>
  <si>
    <t>parfait Baskets hyper légères et agréables à porter. Taille correspondant à la taille commandée. Le style est sympa. Prix intéressant pour baskets de qualité.</t>
  </si>
  <si>
    <t>tip doré? Malgré le fait que je possède beaucoup de câbles audio de toutes sortes, ce n'est jamais assez, je ne comprend pas. Bref, j'avais besoin d'encore un autre câble jack stéréo et c'est celui-ci que j'ai choisi. Bon câble de bonne qualité, je l'espère, à confirmer dans un an. Pour une raison qui m'échappe, les embouts (les "tip") sont dorés, mais pas le reste des jack ("ring" et masse).</t>
  </si>
  <si>
    <t>Elegants et confortables Sont mes premières Puma et je suis très content de la qualité. Élégants et confortables. La pointure est exacte</t>
  </si>
  <si>
    <t>Génial Il est super</t>
  </si>
  <si>
    <t>Sac bandoulière homme Commander pr un aniv Impec, assez grand sans faire mastoque Léger, et moderne Ravi</t>
  </si>
  <si>
    <t>Super son Excellents ecouteurs, le son est tres bon, et ils sont agreables a porter</t>
  </si>
  <si>
    <t>Élégant Jolie</t>
  </si>
  <si>
    <t>sacoche trés belle sacoche et pratique ; je l'emmène partout avec moi ;les couleurs sont vraiment belles et l'attache sur le devant est trés pratique aussi !! je peux y mettre mes papiers mon portable mes clefs et un paquet de mouchoirs !!!</t>
  </si>
  <si>
    <t>Pas mal de fonctionnalité pour une montre Hybride Esthétiquement, la montre est vraiment bien proportionnée : elle n'est pas trop épaisse contrairement à certaines montres connectées. Technologiquement parlant, l'application Fossil Q est plutôt bien pour du hybride et propose pas mal de fonctionnalités intéressantes à paramétrer sur chacun des 3 boutons de la montre parmi les suivantes : - Durée de trajet - Date du jour - Suivi des objectifs (plusieurs objectifs paramétrables) - Gestion de la musique (augmenter/diminuer le volume, mettre sur pause ou reprendre la chanson, passer à la suivante) - Faire sonner le téléphone à distance - Prendre une photo - Second fuseau horaire - Chronomètre  L'autre fonctionnalité est le système de notifications qui est aussi très pratique : 12 notifications paramétrables possibles (1 pour chaque heure sur le cadran). Exemple : je veux que lorsque je reçois un appel de tel personne, ma montre me le notifie en mettant les aiguilles sur le 12. Lors d'une notification, la montre vibre suffisamment pour le sentir au poignée. Une notification peut porter sur : - un appel - un sms - un appel d'une personne en particulier - un sms d'une personne en particulier - une application (lorsqu'une application envoie une notification au téléphone, vous avez la notification sur la montre)</t>
  </si>
  <si>
    <t>Qualité / Prix exceptionnel Montre de qualité, résistante et agréable à porter. Sa simplicité d'utilisation est remarquable. Je l'utilise à la musculation pour mes temps de repos (chrono ou minuteur) en quelque seconde tout est réglé. Parfait, jour comme nuit, à l'extérieur, intérieur ou sous l'eau, aucun soucis</t>
  </si>
  <si>
    <t>Très bien pour son prix Souple, léger, bref agréable On ne le sent pas sur la tête, et les arceaux sont suffisamment costauds pour maintenir le casque en place dans les mouvements sportifs (vélo et course à pied) On entend bien la musique, même si on est pas isolé complètement de l'extérieur. Bref un bon achat pour son prix</t>
  </si>
  <si>
    <t>Parfait Utilisation pour parcourir les bois, forêts c'est juste ce qu'il me fallait.</t>
  </si>
  <si>
    <t>bon pull jolie pull taille parfaitement bien tien bien chaud la couleur est identique au photo resiste bien aj lavage en machine</t>
  </si>
  <si>
    <t>Simple, se connecte rapidement et de qualité Franchement, pour le prix, le son est de qualité et les écouteurs ne sont pas imposants du tout. Quelques manipulations à apprendre pour se familiariser mais comme tous les écouteurs.</t>
  </si>
  <si>
    <t>De bons écouteurs... Après quelques jours d'utilisations, je trouve le rapport "Qualité/Prix" du produit très bon. Les écouteurs tiennent bien dans les oreilles que ce soit en marchant ou en trottinant. Le son des écouteurs est bon et lors des appels, le micro marche correctement. Le boitier pour les recharger est de bonne facture bien qu'il soit un peu imposant. Les reproches que je pourrais dire pour chipoter ça serait le manuel d'utilisation qui est seulement en anglais et en chinois et le son des écouteurs qui manquent un peu de basse. Sinon côté livraison rien à redire, Amazon au top.</t>
  </si>
  <si>
    <t>déception J'ai été déçu par l'aspect général.Je trouve que ce produit fait vraiment "plastique". De plus le stylo ne tient pas dans la bouche et donc tombe tout le temps. C'est dommage car c'était un produit original</t>
  </si>
  <si>
    <t>Chargeur mort en qq mois à peine Très mauvais produit, en utilisation occasionnelle le chargeur a lâché à peine 1 an après l’achat. Il faut le retourner directement au constructeur au royaume uni... bref nul comme chargeur</t>
  </si>
  <si>
    <t>Déçue par la non réduction du bruit ! Je suis très déçue car ce casque n'a pas de fonction réduction active du bruit.  C est peut être ce qui explique son prix mais cela n'était pas indiqué dans la présentation du produit. Il semblerait par ailleurs d'après les forums que la fonction réduction du bruit est buggée sur les BOZE qc35. Jai retourné le produit et vais me tourner vers SONY.</t>
  </si>
  <si>
    <t>Compact et efficace Filtre anti-pop très efficace, discret et englobe sa soucis le micro (AT 2020). Le système de fixation peut sembler faible mais tiens ce qu'il faut sur le micro.</t>
  </si>
  <si>
    <t>Je recommande Produits nickel conforme a l attente</t>
  </si>
  <si>
    <t>Conforme à la photo Pas de mauvaise surprise.Le produit correspond à l'image, autant sur la forme que sur les couleurs. Et en plus il est chaud et  très douillet.</t>
  </si>
  <si>
    <t>Superbe renapur en pot Pour renover manteau cuir, le pot est genial!</t>
  </si>
  <si>
    <t>Bon rapport qualité prix Pas mal pour le prix</t>
  </si>
  <si>
    <t>Bons écouteurs Écouteurs reçus très rapidement. Livrés dans un joli boîtier. L'écouteur tient bien en place sur l'oreille même pendant une activité sportive. Le design est discret et le son est de bonne qualité. Je recommande.</t>
  </si>
  <si>
    <t>Qualité est là Superbe</t>
  </si>
  <si>
    <t>Parfait en été Puma, une valeur sûre, parfait pour la piscine et les douches en commun. Idéal pour les vacances et la plage.</t>
  </si>
  <si>
    <t>Tres bien, fait le job, a un prix sympa !! Super rapport qualité/prix, fait le job, la qualité semble être au Rdv, reste à voir dans le temps ..</t>
  </si>
  <si>
    <t>Super moment de massage en perspective Je conseille ce coussin massage. Acheté deux fois et ne fais que des envieux. Prix intéressant et produit de bonne qualité.</t>
  </si>
  <si>
    <t>Parfait Superbes écouteurs, tiennent bien dans l’oreille</t>
  </si>
  <si>
    <t>A acheter J'adore ces pantalons de yoga, c'est vraiment une taille haute qui ne s'enroule pas malgré le tissu des sous-vêtements que vous portez. Parfait pour travailler les tailles sont précises, il est confortable et la matière est épaisse. Je vais certainement acheter plus.</t>
  </si>
  <si>
    <t>Efficace ! Le meilleur produit existant pour cet usage. Suffisant résistant et humide pour faire son job. L'essayer c'est l'adopter ! Indispensable !!!</t>
  </si>
  <si>
    <t>Petite lampe ambiance au top &lt;div id="video-block-RGKM7DZKT5DDB" class="a-section a-spacing-small a-spacing-top-mini video-block"&gt;&lt;/div&gt;&lt;input type="hidden" name="" value="https://images-eu.ssl-images-amazon.com/images/I/91JAZNu48ES.mp4" class="video-url"&gt;&lt;input type="hidden" name="" value="https://images-eu.ssl-images-amazon.com/images/I/81n2r7qwUNS.png" class="video-slate-img-url"&gt;&amp;nbsp;Petite lampe de chevet sympa,  on change la couleur rien qu' en touchant . Bon son de l' enceinte bluetooth , la fonction réveil est très bien aussi. Bon rapport qualité prix .</t>
  </si>
  <si>
    <t>Parfait Mon fils n'utilise que ce type de stylo, alors c'est beaucoup moins cher qu'en magasin</t>
  </si>
  <si>
    <t>Qualité produit Bonne qualité reçu dans les temps</t>
  </si>
  <si>
    <t>Bonne qualité, bonne impression et quantité d'impression très correcte. Bonne qualité, bonne impression et quantité d'impression très correcte. Pour un prix raisonnable les cartouches XL et XXL vous permettent des impressions de longue durée et de bonne qualité. J'utilise ces cartouches toujours la marque CANON, pour une imprimante de la même marque, personnellement et à l'occasion professionnellement. Je suis très content des ces cartouches et en comparant les prix on économise facilement une vingtaine d'euros par rapport au "spécialiste des toner et autres" . HB</t>
  </si>
  <si>
    <t>Très bel objet Brosse de très belle qualité, bois verni et qui fait briller parfaitement les chaussures. La finition est très soignée. Je recommande.</t>
  </si>
  <si>
    <t>très confortables Quotidien</t>
  </si>
  <si>
    <t>Parfait Demandé en seconde , mon fils est satisfait.</t>
  </si>
  <si>
    <t>décue un peu décue, j'aurai du me mefier de la longueur de la tige, tres courte, ne va pas remuer le fond du biberon, tant pis pour moi j'aurai du mieux regarder</t>
  </si>
  <si>
    <t>Trop fin Beaucoup trop fin, l'imprimante en prend parfois plusieurs feuilles en même temps. De plus dans ma première rame, au milieu il y avait plein d'espèces de faux plis dans le papier, j'en ai encore quatre à passer! Comparé aux autres papiers que j'avais jusqu'à présent, que ce soit de la marque ou même de la marque d'hypermaché, avec lesquels je n'ai jamais eu de problème et qui, pour certains, étaient même un peu moins chers, celui-ci est le pire</t>
  </si>
  <si>
    <t>collier je les offert a ma maman pour noël vus sont prix j'avait peur qui ne sois pas bien bas tout le contraire il est bien juste un peut trop grand</t>
  </si>
  <si>
    <t>un peux petit le sweat est de bonne qualiter mai il et petit comparer au autre sweat en taille S que j'ai</t>
  </si>
  <si>
    <t>Très bon son mais pas très comfortable Ce casque est vraiment très bon au niveau du son et des basses avec, en plus, l'application qui permet de régler les paramètres selon nos préférences. Cependant, il n'est pas très confortable et je n'ai jamais dépassé 1 heure d'écoute parce qu'il m'écrase les oreilles.</t>
  </si>
  <si>
    <t>superbes bottes ces bottes sont pour un usage professionnel, elles sont très jolies mais un peu rigides au point où l'on peut difficilement les chausser</t>
  </si>
  <si>
    <t>elles sont un peu raides  a enfiler esperons qu elles se detendrons</t>
  </si>
  <si>
    <t>chaleur garantie!! taille m , taille parfaite &amp;nbsp;meme au niveau des manches pour les bras un peu plus grand. difficil de le quitter une fois enfiler!</t>
  </si>
  <si>
    <t>Top! Super, correspond très bien à mes attentes.. Merci Amazon Je recommande vivement pour son prix c'est top ! Sobre, simple et efficace</t>
  </si>
  <si>
    <t>Basketteur Très rapport qualité prix et d'excellente performance</t>
  </si>
  <si>
    <t>Tres bonne montre. Je possede cette montre depuis plus de 6 mois et j'etais tres pessimiste lors de mon achats en vue des mauvais commentaires que j'avais vue a son propos mais apres 6 mois, impecable, je la conseil vraiment car elle a un tres beau design et un cadran tres complet.</t>
  </si>
  <si>
    <t>Qualité parfaite Soutien gorge qui maintient parfaitement les grosses poitrines. Je le mets même quand je ne fais pas de sport. Tellement contente que j’en ai déjà acheté 2 autres ! Il taille parfaitement, ni trop grand ni trop petit</t>
  </si>
  <si>
    <t>bravo Bon produit. Délais ok.</t>
  </si>
  <si>
    <t>Mon pied Solide</t>
  </si>
  <si>
    <t>Conforme à la description Conforme à la description</t>
  </si>
  <si>
    <t>Super mignon. Très joli ; beau bleu ; ma fille l'adore.</t>
  </si>
  <si>
    <t>Avis  commande Tres contente de ma commande, vraiment realiste et de bonne qualité par rapport à la description, petit bémol le colis était mal fermé mais heureusement tout été dedans.</t>
  </si>
  <si>
    <t>Parfais Mon fils est ravi,taille très bien,couleur comme je voulais,l'envoi de l'article a été rapide comme signaler,lArticle est très bien,je n'ai rien à en dire...</t>
  </si>
  <si>
    <t>Respecter et satisfaire Cadeau anniversaire 80 ans d'un parent : très content</t>
  </si>
  <si>
    <t>bon produit mais au bout d'un an, les oreillettes se decollent</t>
  </si>
  <si>
    <t>Parfait Très jolis shorts, belle coupe, très confortable à porter avec la section large à la taille, pas trop serré. J’adore er je conseille. Pour 164 cm et 50 kilos S est parfait.</t>
  </si>
  <si>
    <t>Parfait Parfait, bon maintien, de bonne qualité, jolies couleurs, et taille parfaitement, j'ai pris m taille habituelle et impeccable. Je recommande.</t>
  </si>
  <si>
    <t>Super confortable Jolies, légères et confortable. Bon rapport qualité prix.</t>
  </si>
  <si>
    <t>Fait sauter les plombs Tres bien pendant 1 an puis rouille et maintenant elle fait sauter les plombs donc hs ... je ne sais pas laquelle prendre desormais ...</t>
  </si>
  <si>
    <t>Montre défectueuse,prend du retard Et trotteuse bloquée montre défectueuse,prend du retard et trotteuse bloquée</t>
  </si>
  <si>
    <t>Commentaire sur article Article non conforme à la description tant sur la couleur que sur la forme. Je ne le recommande pas la prochaine fois.</t>
  </si>
  <si>
    <t>Bien Reçu un peu en retard mais bon produit</t>
  </si>
  <si>
    <t>EXCELLENT PRODUIT MAIS H.S APRES 1 AN D UTILISATION SUPER BOUILLOTTE DONT ON NE PEUT SE PASSER MAIS QUI CESSE DE CHAUFFER APRES 1 AN D UTILISATION . PIRE ELLE DOUBLE DE VOLUME  .... J AI PEUR QU ELLE N ECLATE ..</t>
  </si>
  <si>
    <t>la qualité Eastpak RAS, c'est la qualité Eastpak que j'ai toujours connu : solide, bien conçu, et dont on sait que ça durera tant qu'on le cantonnera à une utilisation raisonnable et urbaine.</t>
  </si>
  <si>
    <t>bon appareil Ce toaster sort un peu de l'ordinaire sur des points simples et efficaces. Le bouton de réglage de la puissance est bien fait. Le bouton d'éjection qui y est associé la déclenche facilement sans effort. Le chargement par le dessus est aisé car l'espace est large. La saisie par les grilles latérales (à l'intérieur) est tout aussi efficace. L'éjection à la fin du grill ne fait pas "sauter" les tranches plus haut que le toaster (et c'est tant mieux). Je n'étais pas vraiment convaincu par le "truc" à poser au dessus pour réchauffer du pain ou des croissants. Mais en fait ça le fait carrément ! Ça réchauffe très bien les croissants. Il faut même faire attention à ne pas trop chauffer (le graduant 2 est suffisant). Je le recommande.</t>
  </si>
  <si>
    <t>Convaincu Précision : Débutante Quand j'ai reçu le ciseau, j’étais déçu de l'emballage.... J'avais l'impression qu'il avait déjà était ouvert ou utilisé mais quand j'ai utilisé le ciseau, je n'en revenais pas à quel point ça fonctionnait bien! Je l'adore, vraiment je suis convaincu et très contente de mon achat.</t>
  </si>
  <si>
    <t>Bien construite et avec une belle finition extérieure J'ai choisi ces bottines à cause de leur aspect élégant et du "cousu Goodyear" qui est un gage de solidité. Je connaissais la marque dont je possède le modèle classique et le prix était attractif. A cause du prix attractif, on ne peux pas demander que le souci de finition qu'on peut voir à l'extérieur de la chaussure, continue vers les parties moins visibles. La fabrication est faite au Bangladesh et le doublage intérieur est en tissus. La forme me convient et la taille est respectée. Bien sûr, il faudra les enfiler avec un chausse pied et les recouvrir d'un peu d'huile de pied de boeuf pour les assouplir avant de les cirer pour la première fois (avec un cirage naturel, éviter les produits à base de silicone... qui imperméabilisent mais empêchent le cuir de respirer).</t>
  </si>
  <si>
    <t>Parfaite Jolie, facile d utilisation !</t>
  </si>
  <si>
    <t>la longueur joli bracelet qui fait beaucoup d'effet</t>
  </si>
  <si>
    <t>câble idéal pour remplacer celui d origine vendu avec l ampli pour la guitare acheté en remplacement d un câble court et celui la est parfait</t>
  </si>
  <si>
    <t>merrel comme d'habitude je suis pleinement satisfait de ces chaussure un confort incomparable et une tres bonne qualité facile a mettre</t>
  </si>
  <si>
    <t>Très bien Tres bien pratique</t>
  </si>
  <si>
    <t>Top Tres bien 💪💪</t>
  </si>
  <si>
    <t>Les écouteurs parfait ! Des écouteurs super ! Cela fait 3jours que je les aient et hier j'étais en appel et j'avais jamais put tester l'autonomie de l'écouteur gauche oui je dit bien que le gauche car au bout de 3h30-4h l'ecouteur gauche s'éteint donc la je me dit a merde l'ecouteur droit ne va plus fonctionner car le gauche et l'ecouteur principal mais si ! J'ai pu finir mon appel donc 30min de plus et l'ecouteur droit etait toujours allumé ma copine m'entendais toujours avec le micro des écouteurs(qui est aussi top celon elle) en bref génial le son et parfait la bass et réellement présente ce qui fait très plaisir a mes oreilles ! Ecouteur Top en 3jour j'ai recu la boite avec 76%pour cent elle est actuellement a 62% donc sincèrement juste top PARFAIIIT! Plus qu'a tester la batterie pour recharger mon téléphone.</t>
  </si>
  <si>
    <t>Parfait Produit conforme. Rien à reprocher. État du produit parfait.</t>
  </si>
  <si>
    <t>Très confortable Le legging est arrivé avant le délai. Je le met pour la marche. Il est très bien 😊</t>
  </si>
  <si>
    <t>Conforme à l'attente de ma fille C'est le cadeau d'anniversaire de ma fille à sa copine Nous recommandons</t>
  </si>
  <si>
    <t>Top Tout le nécessaire réunit en une trousse. Mon séjour en maternité n'était pas stressant du fait que tout y était</t>
  </si>
  <si>
    <t>Très satisfaisant Très bon son l'autonomie est bonne</t>
  </si>
  <si>
    <t>Très belles en noir Idéales pour le travail en cuisine et la marche à pied. Il faut prendre 1 voire 2 pointures au-dessus de sa taille habituelle. je fais du 44, j'achète le modèle 45-46.</t>
  </si>
  <si>
    <t>Top Legging fin, pour faire du yoga c’est top. Ce n’est pas non plus une super qualité mais pour le prix, il fait le job 👍 J’en recommanderais un à l’occasion</t>
  </si>
  <si>
    <t>top confortable conforme à mes attentes, c'est le deuxième que j'achète. S/M pour un 38/40. fluide , léger, top original et décontracté très sympa et passe partout.</t>
  </si>
  <si>
    <t>Taille non conforme J’ai choisi la taille S qui d’avère trop grand. C’est un bon M.. Du coup c’est moi qui vais le mettre. Quand à la qualité elle a été suffisamment décrite...esthétique sympa mais produit pas de très bonne qualité.</t>
  </si>
  <si>
    <t>TRÈS DÉÇUE !!!! 👎👎👎👎👎👎👎👎J'ai commandé un 37,5 comme pointure et j'en ai reçu ce que je suppose que soit un 38,mais on ne peut pas le comprendre parce que le commerçant à  "EFFACÉ" la pointure européenne!!! et même pour un 38 la pointure serais TROP grande! Je trouve que soit un grand manque de respect envers les clients effacer la pointure!!! je ne vais même pas dépenser l'argent pour le renvoi, je vais vendre les chaussures à mes collègues de travail.</t>
  </si>
  <si>
    <t>Chaine trop petite juste bon pour un bébé non pour une Femme Trop petit pour une Femme juste bon pour un bebe</t>
  </si>
  <si>
    <t>Trop juste sur le dessus Dommage que mon coup de pied ne rentre pas dedans :(</t>
  </si>
  <si>
    <t>trop trop belle a dit ma fille le produit répond trés bien aux attentes de ma fille!!!</t>
  </si>
  <si>
    <t>Support fonctionnel, mais stabilité aléatoire. J'ai acheté ce support de micro, pour le micro Bird UM1. Le support à tendance à tomber sous le poids du micro, une fois bien positionné plus de soucis.</t>
  </si>
  <si>
    <t>Un peu grandes Taillent plutôt grande mais sympa avec la couleur bleu foncée sur l’arriere</t>
  </si>
  <si>
    <t>Livre pk Très bon livre de coloriage .</t>
  </si>
  <si>
    <t>Cool! Elles sont trop belles! Par contre prévoir vraiment une taille en plus. Livraison super rapide!</t>
  </si>
  <si>
    <t>qualité prix. bague SHEGRACE ouverte argent 925 Sterline, motif arbre de la vie ( ) c'est le nom que je lui donne. couleur vert en fin de branche pour le feuillage. pour le prix, elle fait vraiment chic. vraiment je l'adore, et peut la conseiller.</t>
  </si>
  <si>
    <t>très bon produit Ce produit a permis de faire disparaître les tâches incrustées depuis longtemps dans ma voiture achetée d'occasion. J'ai dû le passer deux fois mais le résultat est excellent. Livraison rapide, rien à redire.</t>
  </si>
  <si>
    <t>Fais le taf Les cartouches ont été reçu rapidement et emballées sérieusement. La finition de la cartouche est sérieuse, ça respire le sérieux. Lors de la première utilisation, un message annonce que ce n'est pas une cartouche officielle HP. Hormis cela, elle fonctionne très bien pour un prix largement inférieur. Je suis satisfait et recommanderais sans hésiter.</t>
  </si>
  <si>
    <t>Super Je les adore! Payés 23.95 avec  la livraison, la couleur est top, elles sont confortables et taille très bien. Le noeud fait son petit effet.</t>
  </si>
  <si>
    <t>de qualité Je ne savais pas quoi offrir pour l'anniversaire d'un ami . Donc des écouteurs bluetooth me paraissent très bien. La qualité est très bonne, la qualité de l'écoute est au rendez-vous . Je le conseille vivement .</t>
  </si>
  <si>
    <t>On s’amuse bien ! Conforme à la description. Facile d’utilisation. Mode d’emploi en anglais. On l’utilise soit en Bluetooth soit juste pour avoir le son de la voix</t>
  </si>
  <si>
    <t>Juste ce qu'il faut Ni trop petit, ni trop grand.  Mais juste pour le portefeuille et quelques babioles.  Tient sans problème dans une poche de manteau.</t>
  </si>
  <si>
    <t>Bien Bien pratique en 4 min c fait donc tres pratique Idéal pour avoir un biberon rapide. Parcontre tres chaud a la sorti du micro-ondes.</t>
  </si>
  <si>
    <t>Bon produit pour les Terminales qui ont besoin de faire des croquis au BAC... Produit adapté pour les croquis de géographie pour le BAC !! Bonne chance à tous</t>
  </si>
  <si>
    <t>Écouteurs Bluetooth parfait Léger et confortable, ils sont très simple d'utilisation et de belle longévité. Avec leurs boitier de charge tout petit ils se transporte partout. Ils remplissent toutes leurs promesses et je ne m'en lasse pas. A adopter sans hésitation.</t>
  </si>
  <si>
    <t>belle basket basket simple confortable  bonne qualité  comme sur la photo</t>
  </si>
  <si>
    <t>AU TOP !! Je ne regrette absolument pas cet achat. Super confortable, belle finition et conforme à la photo. Je vais probablement m'acheter la paire en blanc et ma maman en veut aussi après avoir testé les miennes. :) Je recommande vivement surtout pour les beaux jours.</t>
  </si>
  <si>
    <t>Bien Produit recommandé</t>
  </si>
  <si>
    <t>Bon grignoteur Très bon produit conforme à la description très bon rapport qualité prix.</t>
  </si>
  <si>
    <t>Bon maintien du pied Il fallait remplacer mes chaussures de de running, j'ai trouvé cette paire qui m'avait l'air correct. J'aime bien la couleur proposée, je l'ai choisi gris foncé avec un peu de bleu mais pas trop ça reste discret ,pas trop voyant comme je voulais. Au niveau de l'intérieur le pied est bien en place et bien maintenu, vraiment confortable et fait pour une utilisation aussi bien en chemin avec une bonne tenue mais aussi sur route avec un bon amorti. Bon choix de chaussure</t>
  </si>
  <si>
    <t>caille caille caille caille</t>
  </si>
  <si>
    <t>Sacoche imposante qui déteint Vraiment déçu de cette achat sacoche imposante et en plus elle perd ça couleur et le cuir ça couleur à déteint sur mes habilles de plus je n’arrive Pas  à enlever les taches je ne le recommande pas Merci 😅</t>
  </si>
  <si>
    <t>Attention debit moyen Inutilisables pour moi, je les ai acheté parce que j'ai vu débit faible mais j'ai reçu débit moyen. Finalement j'ai opté pour la medela calma et ça fonctionne merveilleusement.</t>
  </si>
  <si>
    <t>Ado satisfait Mon fils de 12 ans en est très satisfait pour y ranger sa carte de transport, de cantine, ses clefs, son portable.</t>
  </si>
  <si>
    <t>Super Conforme aux images</t>
  </si>
  <si>
    <t>Efficace quand on respecte certains règles, et n'oubliez pas : c'est un insecticide ! PAS pour les bébés de moins de 2 ans C'est un insecticide, donc c'est un produit qui n'est pas sans danger du tout. Oui, les moustiques c'est super pénible et ça nous empêche régulièrement de bien dormir, mais il faut garder en tête que c'est un produit qui TUE des insectes, donc cela ne peut pas être bon pour nous non plus... Déconseillé très fortement pour les bébés, jamais en-dessous de 2 ans !!  Voici les avertissements sur la page Amazon qui en dit long :  Cet article est sujet à des avertissements et consignes de sécurité spécifiques Très toxique pour les organismes aquatiques, entraîne des effets à long terme Peut être mortel en cas d'ingestion et de pénétration dans les voies respiratoires Utilisez les produits biocides avec précaution.  J'ai utilisé plusieurs prises avec des liquides, (comme Catch, Cinq sur Cinq), le Raid a l'avantage de ne pas sentir et être relativement efficace, ce qui n'est pas le cas des autres, malheureusement. Attention, il existe des recharges parfumés chez Raid, ne vous trompez pas de produit.  Je vous conseille de le brancher 30 minutes avant de vous coucher, et dès que la nuit tombe et que vous avez des lampes allumées dans votre maison. C'est à ce moment-là qu'elles rentrent chez vous.  Ne jamais brancher sur une prise multi-prise, mais uniquement dans une prise murale, verticalement, de vérifier qu'il reste du liquide avant de brancher, et de débrancher dans la journée (ce modèle n'a pas de système où on peut choisir de le laisser allumer 8, 12 ou 24h, celle de Raid achetées au Monoprix l'ont par contre). Ne jamais couvrir avec un tissu, loin des rideaux, draps, etc.  Je ne supporte pas de dormir les fenêtres fermées, surtout quand il fait chaud, donc je branche en début de soirée et je dors avec la fenêtre ouverte, porte fermée. Et ça marche !</t>
  </si>
  <si>
    <t>travaux modèle très souple et chaud pratique pour le temps actuel</t>
  </si>
  <si>
    <t>Bon rapport qualité-prix La montre n'est pas luxueuse, elle ne vaut pas grand chose mais accomplie correctement sa mission:afficher l'heure. Elle très maniable et très pratique. Prise en main rapide et pas besoin d'une personne tiers pour aider à la porter. Si vous ne pouvez pas vous achetez une montre de luxe ou si vous chercher le minimum avec une montre je vous la conseille.</t>
  </si>
  <si>
    <t>Parfait Satisfait de notre achat Bon rapport qualité prix pour l'usage que l'on en fait (écoute de musique ou film)</t>
  </si>
  <si>
    <t>Très bon produit Très bon produit de qualité et robuste content de cet achat</t>
  </si>
  <si>
    <t>Super écouteurs ! Super écouteurs Bluetooth, Ils ont une bonne tenue dans les oreilles et ne ressortent pas beaucoup, ils sont donc assez discret! Facile à utiliser grâce au tactile (il faut juste apprendre les manip pour les différentes fonctions tactile) La batterie des écouteurs tient relativement longtemps, de même que celle de la base, avec ces 3500 mah qui permettra même de recharger un téléphone ou tout autre chose. Je recommande ces écouteurs !</t>
  </si>
  <si>
    <t>étonné tres jolie montre homme. la qualité est au rdv. ne fait pas bas de gamme malgres le prix.</t>
  </si>
  <si>
    <t>Bracelet en pierres naturelles 7 chakras Très bau bracelets, les pierres sont de belle qualité, j'aime beaucoup le porter</t>
  </si>
  <si>
    <t>Bon produit Utile et bien conçu. Réglage bandoulière aise</t>
  </si>
  <si>
    <t>Superbes Converse Produit conforme à la description. Les Chuck Taylor originales et indémodables comme on les aimes. Attention à la taille, Converse taille grand. Je fais un 43 chez Nike mais j’ai pris un 41,5 pour ce modèle après plusieurs essais en boutique.</t>
  </si>
  <si>
    <t>montre de luxe très plate et d'un style très agréable et bon rapport qualité prix</t>
  </si>
  <si>
    <t>Parfait Bon produit qualité/prix, pratique, je recommande.</t>
  </si>
  <si>
    <t>Très bon produit, je recommande. Très bon produit, je recommande. Les converses sont des baskets fiables, parfaites pour les activités de loisir, promenades, etc....</t>
  </si>
  <si>
    <t>Très bon soutien-gorge/brassière, très bonne qualité ! Très bon produit très confortable, bon maintien, qualité irréprochable ! Ce n'est pas la première fois que j'achète ce produit qui est d'un rapport qualité/prix très intéressant.</t>
  </si>
  <si>
    <t>Très bonne qualité La pierre est un poil plus petite que sur la photo mais ça ne dérange pas car le bracelet est fin. Magnifique bracelet fin et résistant. La pierre à un reflet bleutée qui le rend encore plus désirable. Les gens ne le voit pas forcement car il est discret. J'en suis très satisfaite car c'est ce que je recherchais.</t>
  </si>
  <si>
    <t>Joli Tres joli. Il fait un bel effet. Envoi rapide et soigné.  Ouï je recommande cet article</t>
  </si>
  <si>
    <t>Bien De jolis stoppeurs</t>
  </si>
  <si>
    <t>jolie cool  et  bien</t>
  </si>
  <si>
    <t>Super mélangeur à biberon Nous avions du mal à mélanger correctement le lait épaissi de notre bébé, avec ce mélangeur c’est devenu un jeu d’enfàt. Hyper rapide adieu les grumeaux après seulement 4-5 secondes dans le biberon. La tige est difficile à enlever nous le nettoyons avec précaution sans l’oter Pour éviter de la casser. Petit prix mais qui fonctionne bien.</t>
  </si>
  <si>
    <t>Pas adapté pour le sport Je déconseille pour le sport.</t>
  </si>
  <si>
    <t>tres moyen taille M = S qualité de fabrication proche de la nullité synthétique horrible a porter et non agrébale Je ne recommande pas</t>
  </si>
  <si>
    <t>Boucles d’oreille Les tiges des boucles d’oreilles sont toutes tordues impossible de les mettre. Très déçus</t>
  </si>
  <si>
    <t>oui mais Joli coupe, peut etre un peu petit de taille, parcontre la qualité du cuir est tres fine je pensais avoir quelque chose de plus épais et la couler est bien moins prononcer que prévu , plus fade</t>
  </si>
  <si>
    <t>mouchoirs en papier second choix ces mouchoir "recyclés" Presto!  Mouchoirs 4 épaisseurs, Lot de 42 Etuis sont en fait composés papiers recyclés et non de vieux mouchoirs. cet aspect recyclé explique la couleur qui n'est pas blanche immaculée. pour être assez doux au contact du visage, ces mouchoirs n'utilisent d'ailleurs pas que du papier recyclé. au final, en terme de qualité et de douceur, c'est très moyen. pour se moucher très régulièrement lorsque votre nez coule à foison, je vous les déconseillent. mais si vous n'êtes pas douillet et que l'éco responsabilité est importante pour vous....</t>
  </si>
  <si>
    <t>Cartouche 570 xl Reçu dans les temps. Je commence juste à les utiliser. À voir pour la longévité, mais elles ont plus de contenant que les anciennes.</t>
  </si>
  <si>
    <t>taille bien sans surprise pour la taille , plutôt jolie et confortable.</t>
  </si>
  <si>
    <t>sac de poitrine très pratique Pour sortir car ce sac est très pratique pour moi et on a les mains libres. Voir on est rassuré</t>
  </si>
  <si>
    <t>Perd des minutes par moment en une seule fois et non continuellement Je l'ai à acheté pour la mettre la semaine au boulot Très jolie, voir brillant ainsi que le bracelet, peut être trop fragile aux rayures Perd des minutes par moment en une seule fois et non continuellement La molette de réglage n'est pas tiree</t>
  </si>
  <si>
    <t>Très bons shorts de sport Les 2 shorts qui composent ce lot, un noir et un blanc, sont parfaits. Achetés en taille M, ils sont bien ajustés pour une grande fille de 160 cm.</t>
  </si>
  <si>
    <t>Stabilo woody J'ai acheté le petit paquet pour tester car je suis enseignante et je cherchais un produit à utiliser sur mes affiches plastifiées, c'est chose faite! Les crayons sont faciles à utiliser sur vitre, sur papier plastifié, facile à effacer; sans résidus, je suis ravie. Les crayons ont l'aspect de crayons gras, mais je n'ai pas encore testé le dessin sur feuille de papier avec.....à voir! Je pense acheter par le suite un paquet plus gros avec davantage de couleurs.</t>
  </si>
  <si>
    <t>Rapport qualité prix parfait Utilisé avec des fiches bananes Amazon Basics, c'est parfait. Le câble est de bonne qualité, convient parfaitement pour une installation chez un particulier.</t>
  </si>
  <si>
    <t>Parfait ! Nous recherchions cet article et bien CET article ! Nous sommes ravies ! Les boîtes sont parfaitement indépendantes et l'ouverture latérale permet de verser la poudre dans les biberons sans en mettre à côté ! Nous recommandons !</t>
  </si>
  <si>
    <t>Bon sacs Poubelles Handy Bag Sacs Poubelles populaire à recommander</t>
  </si>
  <si>
    <t>très bien Mon fils a été habitué dès le début à ces tétines et cela lui convient parfaitement, la transition allaitement biberon s'est ainsi faite sans difficulté.</t>
  </si>
  <si>
    <t>top ! rien a dire, qualité top, couleurs bien, des stabilos quoi ! la meilleure marque qui existe en fluos !! j'adore</t>
  </si>
  <si>
    <t>Très beau Le colis est rapide. Il est un très beau et pratique à utiliser. Je l’aime et je vais recacheter pour ma petite amie.</t>
  </si>
  <si>
    <t>Attentes satisfaites J'ai reçu le masseur en bon état, et le délai de livraison était respecté. Le masseur fonctionne comme décrit. J'ai utilisé pendant des années un Hitachi Magic Wand Massager qui doit être branché. J'ai trouvé le nouveau masseur Paloqueth tout aussi bon pour les basses vibrations, et meilleur en ce qui concerne la variation des modes. Je trouve super qu'il soit sans fil.</t>
  </si>
  <si>
    <t>excellent excellent dommage explications en anglais seulement tees bon produit heureusement tuto sur internet</t>
  </si>
  <si>
    <t>Bien Impeccable pour sécher les biberons. 4 Max Merci</t>
  </si>
  <si>
    <t>Ravie Taille très bien. Très jolie.</t>
  </si>
  <si>
    <t>Rapport qualite prix excellent Belle</t>
  </si>
  <si>
    <t>short bien taillé et confortable. Short utilisé pour mettre sous une jupe de danse. Très bien taillé et confortable. Excellent rapport qualité prix. Je recommande cet article.</t>
  </si>
  <si>
    <t>Pas de marquage Je ne l'ai pas encore installé mais je peux dire que les deux brins, dans l'exemplaire reçu, sont identiques, sans marquage pour les distinguer, contrairement au descriptif. Ce n'est pas gravissime mais ce n'est pas sérieux.</t>
  </si>
  <si>
    <t>Taille bcp trop grand Bonjour Acheté pour ma fille qui met du 35 et elles sont bcp trop grandes pour elle Je pourrais les mettre alors que je fais du 39....très déçue de ce produit qui taille mal alors que la qualité est au rendez vous</t>
  </si>
  <si>
    <t>Bague Grosse arnaque Toute la couleur d’un côté est parti alors que soi-disant c’est de l’argent je regrette cette achat et je voudrais être remboursé Reçu ce matin</t>
  </si>
  <si>
    <t>Bof bof Jolie chaussure , super design, livraison super rapide . Le soucis c’est sur la taille l’es chaussure taille petit par exemple 43=42 chez eux. La finition n’es pas au rendez-vous la coque était apparente dans la chaussure , qui malheureusement me fesais saigner même avec de grosse chaussette. Vérifie bien l’intérieur  De la chaussure si il y a bien une protection au bout , un collègue à les meme et c’est niquel pour lui , moi pas u de chance voilà .</t>
  </si>
  <si>
    <t>beau cuir et poches pratiques Belle sacoche. Je m'attendais à un cuir de mauvaise imitation mais le résultat est plutôt bon. Je ne trouve pas le logo particulièrement séduisant par contre mais les poches sont bien agencées et les tirettes semblent solides. J'aime bien la manière dont il se porte en bandoulière et la poche principale qui se referme à l'aide d'un aimant.  Edit : je le porte depuis quelques jours à peine mais il présente déjà des signes d'usures. Soit le cuir n'a pas été suffisamment bien traité, soit il s'agit d'une couche trop fine et donc bas de gamme.</t>
  </si>
  <si>
    <t>Très bon chauffe-biberon Très rapide et très facile à utiliser. Un seul bouton pour on/off, le doseur pour la quantité d’eau et il peut être utilisé à la maison et dans la voiture. Il chauffe vite. Je le recommande !</t>
  </si>
  <si>
    <t>Livraison plutôt que prévu Très chaud je recommande mais prévoir une a deux tailles de plus</t>
  </si>
  <si>
    <t>Taille petit La chaussure est très confortable mais malheureusement trop petite . Prendre une taille au dessus</t>
  </si>
  <si>
    <t>Super Produit nickel pour un cadeaux à ma femme</t>
  </si>
  <si>
    <t>Bouilloire tendance Ce produit correspond tout à fait à ma demande</t>
  </si>
  <si>
    <t>Très bien je conseille Très beau j’en avais déjà commander mais pas les meme mais cela très beau et il y a du fil plastique pour si au cas où il casse je recommande</t>
  </si>
  <si>
    <t>Soutiens super Très contente de ce produit ! Maintient bien la poitrine et facile à enfiler</t>
  </si>
  <si>
    <t>Bel article confortable et réglable, bon son J'ai commandé ce casque pour les 7 ans de ma fille, la grande l'ayant déjà eu en version noir et orange. La qualité de son est très bonne, le casque confortable. Et très pratique à utiliser en Bluetooth ou filaire en fonction de l'appareil qu'elles utilisent. L'étui rigide est très pratique pour transporter un lecteur mp3 en plus par exemple. Belle présentation</t>
  </si>
  <si>
    <t>Un grand merci Rien à dire merci.... ma copine est très ravie pour sa demande ..Je recommande super confortable</t>
  </si>
  <si>
    <t>Parfait et pratique Trépied pour mon micro Bird, bonne stabilité, bonne qualité. Très contente de cet achat, très bon rapport qualité prix.</t>
  </si>
  <si>
    <t>comme prévu Je suis vraiment satisfait de ce produit, très beau modèle et la taille est comme prévu je les recommandent pour tous</t>
  </si>
  <si>
    <t>Conforme à la description Parfait contente de mon achat</t>
  </si>
  <si>
    <t>Casio Conforme à mes attentes</t>
  </si>
  <si>
    <t>Super gilet L' article est conforme à la photo, la couleur est sympa et le gilet bien chaud, mon mari l'a toujours sur le dos !!</t>
  </si>
  <si>
    <t>Sèche biberon parfait ! Excellent rapport qualité prix. Sèche biberon remplit complètement sa fonction. Le vendeur est très professionnel et gentil.</t>
  </si>
  <si>
    <t>Parfait mais attention à la taille Parfait mais attention à la taille, plus habitué au xl, j'ai pris du L ici en suivant les conseils des autres commentaires et c'est parfait</t>
  </si>
  <si>
    <t>Merci Pas mal! Assez content</t>
  </si>
  <si>
    <t>Parfait Il s'agit de la cinquième paire dans ce modèle. La taille est parfaite et le modèle chausse toujours aussi bien.</t>
  </si>
  <si>
    <t>parfait les soutiens gorges glamorise sont une marque fiable ; j'achète ces derniers pour ma maman et elle est super satisfaite à chaque fois ; maintien et qualité présents. Dommage qu'ils soient aussi chers</t>
  </si>
  <si>
    <t>Taillees trop petites! Taille très très petit. Pourtant habituée à kickers, j'ai pris le 35 pour ma fille qui porte des semelles taille 34. Les semelles ne rentrent même pas dans la chaussure. Achetée en 36, c'est ENCORE trop petit... Elles taillent au moins 1 taille 1/2 trop petites. Achetées de nouveau en 37 (soit 2 pointures au dessus) En espérant que cette fois ci ça convienne!!!</t>
  </si>
  <si>
    <t>Dur dur Trop petit même en prenant une taille au dessus. J'aimerais contacter le vendeur pour faire un échange mais impossible de trouver comment faire 😕</t>
  </si>
  <si>
    <t>Il n’a pas fonctionné très longtemps Ce diffuseur est vraiment très joli niveau lumière rien à dire l’effet est vraiment top en revanche il ne fonctionne plus au bout de quelques mois je suis assez déçu il n’est pas assez résistant dommage car j’aimais beaucoup</t>
  </si>
  <si>
    <t>Pas de semelles C’est pas la première fois que j’achète Bensimon, par contre c’est la première fois qu’il n’y a pas de semelles ? Est-ce normal?</t>
  </si>
  <si>
    <t>good elles sont arrivées en temps et en heure  très jolie confortable  e on et bien dedans j ai enlever 1 étoile car pour ma part la hansse pour tenir le pied la ou il y a le signe puma et un peu trop serré pourtant j n ai pas un fort pied mais appart tout sa je recommande</t>
  </si>
  <si>
    <t>À voir dans le temps J'ai rapidement testé la bouilloire surtout pour m'assurer qu'elle fonctionne bien aussi je ne peux mettre 5 étoiles pour le moment. J'enlève simplement une étoile car je doute encore de la promesse concernant les 6h de maintien au chaud.  Cependant, pour avoir acheté un couteau professionnel de cuisine de la même marque pour ma mère (qui en est satisfaite) je sais que  Aicok font de bons produits à prix raisonnable. Par ailleurs, j'adore le système bouilloire et thermos en même temps!👌 il fallait y penser ☝️</t>
  </si>
  <si>
    <t>Belle mais déçue par la couleur Belle mais la couleur fait très "toc"</t>
  </si>
  <si>
    <t>Mettre l'eau dans le réservoir n'est pas pratique. Le versement de l'eau dans le réservoir est difficile l'ouverture est étroite.</t>
  </si>
  <si>
    <t>Parfait ! Voici un produit qui n'a plus à faire ses preuves... Toujours aussi efficace, cela permet d'éviter les mauvaises surprises...  A utiliser suivant les lessives que l'on a à faire.</t>
  </si>
  <si>
    <t>Reste plus qu'à essayer merci Colis bien reçu rien à dire livraison au top</t>
  </si>
  <si>
    <t>Montre au top La montre elle-même est magnifique, la mon tre a un bon poids et le visage est si clair. Mon fils a eu quelques difficultés avec la fermeture au début, ce que j'ai aussi trouvé difficile, mais après quelques essais, il peut le faire facilement maintenant. Il adore ça et ça ressemble à une montre chère a ussi.</t>
  </si>
  <si>
    <t>jolie trousse robuste parfaite pour aller avec le sac à dos assorti :) la trousse est de bonne taille, la fermeture éclair et le tissu semblent bien solides, le destinataire du cadeau est ravi :)</t>
  </si>
  <si>
    <t>Bonne peinture pour bebz Peinture qui se nettoie tres bien a avec un chiffon et de l'eau.aucun probleme pour nettoyer les surfaces. Pour les tissus, il faut le passer au lave linge car ne s'en va pas uniquement a l'eau. Les couleurs sont belles. Aucun probleme.</t>
  </si>
  <si>
    <t>Lingerie Parfait très satisfaite, merci Amazone</t>
  </si>
  <si>
    <t>super confortable c'est chaussures sont super confortable et de belle qualité. Les semelles sont vraiment antidérapante La taille indiqué correspond bien a mon pied. je recommande ces chaussures pour qui veut passer l'hiver au chaud !!!</t>
  </si>
  <si>
    <t>Très jolie Petit bijoux très fin bien dessiné se porte très bien avec tous les style, la chaine et plus épaisse que je pensais donc très bien et le fermoir a l'air résistant . jolie écrin</t>
  </si>
  <si>
    <t>trés bien jamais décue par avent</t>
  </si>
  <si>
    <t>sac poubelle corret Lot de Sacs poubelle un achat utile pour préserver la propreté de chez soi. Un lot de sacs a avoir  chez soi</t>
  </si>
  <si>
    <t>Minerva OTAN46 Trace symbole tactique 😁</t>
  </si>
  <si>
    <t>Parfait Excellente sacoche homme en cuir. Très beau produit, belle finition et surtout très pratique grâce aux différentes poches. A acheter sans hésitation.</t>
  </si>
  <si>
    <t>Vous oublierez porter des chaussures de secu Je les mets tous les jours , vraiment le top pour bosser génial</t>
  </si>
  <si>
    <t>Parfait ! Vraiment très très bien ! Belle qualité, conforme au descriptif, j'en suis satisfaite.</t>
  </si>
  <si>
    <t>Superbe baskets pointure top matière idem très belle paire de basket</t>
  </si>
  <si>
    <t>Où sont passées les nimbus? Je mets des nimbus depuis qu'elles existent et je cours 60 km/semaine. Jusqu'à la 18, tout allait bien. Leur conception a été entièrement revue à la 19: catastrophe. La 20, un poil mieux; quant à la 21, je n'ai pas eu la sensation de porter des nimbus. Certes, la semelle est plus épaisse mais elle est aussi plus "raide" et le chaussant vraiment étroit. Elles chaussent aussi plus petit que les précédentes (je fais du 39 et je suis au bout du 40,  bientôt je vais les prendre en 42!) .Et pour qu'elles ne pèsent pas plus lourd qu'avant, malgré l'augmentation de  l'épaisseur de la semelle, elles ont été dépouillées d'une bonne partie de la mousse autour du pied qui les rendait si confortables. Bref, déçue, déçue, déçue!</t>
  </si>
  <si>
    <t>Perte de ma commande. J'ai reçu le carton amazon vide. Pas de bracelets de dans.</t>
  </si>
  <si>
    <t>Cartouches HP 302 noire et trichromie Pack de cartouches HP originales qui fonctionnent très bien avec mon imprimante. La livraison et le conditionnement sont impeccables comme à l'accoutumée. Le gros bémol pour moi c'est que j'ai l'impression que les cartouches sont à moitié remplies. Les cartouches ne durent pas dans le temps en conclusion. C'est bien dommage d'avoir la sensation de faire une affaire sans que ça en soit une...</t>
  </si>
  <si>
    <t>Chausson gymnastique Chausson gymnastique agréable à porter mais pas très résistant</t>
  </si>
  <si>
    <t>Tablette pour tout usage Produit acheté en vente flash, et que je recommande. Par contre à prendre en considération que je trouve le pliage un peu problématique- appuyer assez fort et plier en même temps peut s'avérer difficile, j'utilise des baguettes en bois afin d'épargner mes ongles. Mais sinon idéal pour toutes les positions, par contre attention à la perte d'équilibre. Et plateau de souris peu pratique</t>
  </si>
  <si>
    <t>Une vraie montre tout-terrain Une montre qui ne craint ni l'eau, ni les chocs. Avec ses aiguilles blanches, l'heure se lit facilement même dans de mauvaises conditions lumineuses (un bouton de rétro-éclairage est même prévu pour le noir total). J'adore son look ! Seul bémol, la notice multi-lingue : armez-vous d'une bonne paire de lunettes (caractères minuscules) et de beaucoup de patience pour intégrer toutes les fonctions ! Pour ma part, je me suis arrêté au réglage de l'heure, ça ira comme ça.</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</si>
</sst>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row>
    <row r="2">
      <c r="A2" s="1">
        <v>2.0</v>
      </c>
      <c r="B2" s="1" t="s">
        <v>3</v>
      </c>
      <c r="C2" t="str">
        <f>IFERROR(__xludf.DUMMYFUNCTION("GOOGLETRANSLATE(B2, ""fr"", ""en"")"),"Not super hot Small heating mat, nice texture. By cons, takes a long time to heat up. And mode 3, the highest, I think it is not very hot .... I expected more anyway ...")</f>
        <v>Not super hot Small heating mat, nice texture. By cons, takes a long time to heat up. And mode 3, the highest, I think it is not very hot .... I expected more anyway ...</v>
      </c>
    </row>
    <row r="3">
      <c r="A3" s="1">
        <v>1.0</v>
      </c>
      <c r="B3" s="1" t="s">
        <v>4</v>
      </c>
      <c r="C3" t="str">
        <f>IFERROR(__xludf.DUMMYFUNCTION("GOOGLETRANSLATE(B3, ""fr"", ""en"")"),"Keep Driving At first glance, good article, comply with the order. After one week of use, inside the liner tears. Not to be buying.")</f>
        <v>Keep Driving At first glance, good article, comply with the order. After one week of use, inside the liner tears. Not to be buying.</v>
      </c>
    </row>
    <row r="4">
      <c r="A4" s="1">
        <v>3.0</v>
      </c>
      <c r="B4" s="1" t="s">
        <v>5</v>
      </c>
      <c r="C4" t="str">
        <f>IFERROR(__xludf.DUMMYFUNCTION("GOOGLETRANSLATE(B4, ""fr"", ""en"")"),"Middle solid. But one of the pocket is too tight to put anything in the interior")</f>
        <v>Middle solid. But one of the pocket is too tight to put anything in the interior</v>
      </c>
    </row>
    <row r="5">
      <c r="A5" s="1">
        <v>4.0</v>
      </c>
      <c r="B5" s="1" t="s">
        <v>6</v>
      </c>
      <c r="C5" t="str">
        <f>IFERROR(__xludf.DUMMYFUNCTION("GOOGLETRANSLATE(B5, ""fr"", ""en"")"),"conforms to the image will be necessary to achieve some big pus Good product aesthetical appreciated gift")</f>
        <v>conforms to the image will be necessary to achieve some big pus Good product aesthetical appreciated gift</v>
      </c>
    </row>
    <row r="6">
      <c r="A6" s="1">
        <v>5.0</v>
      </c>
      <c r="B6" s="1" t="s">
        <v>7</v>
      </c>
      <c r="C6" t="str">
        <f>IFERROR(__xludf.DUMMYFUNCTION("GOOGLETRANSLATE(B6, ""fr"", ""en"")"),"Barefoot but with a good pair of shoes since the summer, I have not left them an inch! Beyond reasonable price, these shoes are very comfortable to wear even on stony ground ... Really the feeling of being barefoot, walking becomes less tiring. If you are"&amp;" ""drummer"", it will be the top (I know who plays in socks to reduce their feet especially the double pedaling): these ""pumps"" are perfect, they will ensure you a perfect grip and a comfortable typing all offering you the feeling of lightness. Another "&amp;"thing, the size is perfect, no surprises.")</f>
        <v>Barefoot but with a good pair of shoes since the summer, I have not left them an inch! Beyond reasonable price, these shoes are very comfortable to wear even on stony ground ... Really the feeling of being barefoot, walking becomes less tiring. If you are "drummer", it will be the top (I know who plays in socks to reduce their feet especially the double pedaling): these "pumps" are perfect, they will ensure you a perfect grip and a comfortable typing all offering you the feeling of lightness. Another thing, the size is perfect, no surprises.</v>
      </c>
    </row>
    <row r="7">
      <c r="A7" s="1">
        <v>5.0</v>
      </c>
      <c r="B7" s="1" t="s">
        <v>8</v>
      </c>
      <c r="C7" t="str">
        <f>IFERROR(__xludf.DUMMYFUNCTION("GOOGLETRANSLATE(B7, ""fr"", ""en"")"),"Great gift Very nice watch man, very classy. It is a gift that my husband enjoyed. A deluxe breakfast!")</f>
        <v>Great gift Very nice watch man, very classy. It is a gift that my husband enjoyed. A deluxe breakfast!</v>
      </c>
    </row>
    <row r="8">
      <c r="A8" s="1">
        <v>5.0</v>
      </c>
      <c r="B8" s="1" t="s">
        <v>9</v>
      </c>
      <c r="C8" t="str">
        <f>IFERROR(__xludf.DUMMYFUNCTION("GOOGLETRANSLATE(B8, ""fr"", ""en"")"),"The Perfect Sound Quality Easy to connect to the phone. They allow me to answer my calls hands free kit mode and back to listen to my music. Easy handling. Very good sound quality, it is isolated from the rest of the world.")</f>
        <v>The Perfect Sound Quality Easy to connect to the phone. They allow me to answer my calls hands free kit mode and back to listen to my music. Easy handling. Very good sound quality, it is isolated from the rest of the world.</v>
      </c>
    </row>
    <row r="9">
      <c r="A9" s="1">
        <v>5.0</v>
      </c>
      <c r="B9" s="1" t="s">
        <v>10</v>
      </c>
      <c r="C9" t="str">
        <f>IFERROR(__xludf.DUMMYFUNCTION("GOOGLETRANSLATE(B9, ""fr"", ""en"")"),"Perfect Not very thick but my daughter immediately loved !!!")</f>
        <v>Perfect Not very thick but my daughter immediately loved !!!</v>
      </c>
    </row>
    <row r="10">
      <c r="A10" s="1">
        <v>5.0</v>
      </c>
      <c r="B10" s="1" t="s">
        <v>11</v>
      </c>
      <c r="C10" t="str">
        <f>IFERROR(__xludf.DUMMYFUNCTION("GOOGLETRANSLATE(B10, ""fr"", ""en"")"),"Beautiful Super devised for births and other celebrations. With small sweets to share with loved ones.")</f>
        <v>Beautiful Super devised for births and other celebrations. With small sweets to share with loved ones.</v>
      </c>
    </row>
    <row r="11">
      <c r="A11" s="1">
        <v>5.0</v>
      </c>
      <c r="B11" s="1" t="s">
        <v>12</v>
      </c>
      <c r="C11" t="str">
        <f>IFERROR(__xludf.DUMMYFUNCTION("GOOGLETRANSLATE(B11, ""fr"", ""en"")"),"Simple for beginners readers for not discourage Garcon early PC")</f>
        <v>Simple for beginners readers for not discourage Garcon early PC</v>
      </c>
    </row>
    <row r="12">
      <c r="A12" s="1">
        <v>5.0</v>
      </c>
      <c r="B12" s="1" t="s">
        <v>13</v>
      </c>
      <c r="C12" t="str">
        <f>IFERROR(__xludf.DUMMYFUNCTION("GOOGLETRANSLATE(B12, ""fr"", ""en"")"),"On Super cable mixer")</f>
        <v>On Super cable mixer</v>
      </c>
    </row>
    <row r="13">
      <c r="A13" s="1">
        <v>5.0</v>
      </c>
      <c r="B13" s="1" t="s">
        <v>14</v>
      </c>
      <c r="C13" t="str">
        <f>IFERROR(__xludf.DUMMYFUNCTION("GOOGLETRANSLATE(B13, ""fr"", ""en"")"),"very well and easy to use for middle school works well for middle school I myself bought for my son it works very well")</f>
        <v>very well and easy to use for middle school works well for middle school I myself bought for my son it works very well</v>
      </c>
    </row>
    <row r="14">
      <c r="A14" s="1">
        <v>5.0</v>
      </c>
      <c r="B14" s="1" t="s">
        <v>15</v>
      </c>
      <c r="C14" t="str">
        <f>IFERROR(__xludf.DUMMYFUNCTION("GOOGLETRANSLATE(B14, ""fr"", ""en"")"),"Great Value Jai tested for my migraines peppermint oil and it worked, happy with my purchase and the storage case is very convenient jadore")</f>
        <v>Great Value Jai tested for my migraines peppermint oil and it worked, happy with my purchase and the storage case is very convenient jadore</v>
      </c>
    </row>
    <row r="15">
      <c r="A15" s="1">
        <v>5.0</v>
      </c>
      <c r="B15" s="1" t="s">
        <v>16</v>
      </c>
      <c r="C15" t="str">
        <f>IFERROR(__xludf.DUMMYFUNCTION("GOOGLETRANSLATE(B15, ""fr"", ""en"")"),"Good This device is very satisfied, there's speed. One side is soft and easy leather cleaned, the other side is breathable net .It included a Charger and Car Charger, a practice put in the car.")</f>
        <v>Good This device is very satisfied, there's speed. One side is soft and easy leather cleaned, the other side is breathable net .It included a Charger and Car Charger, a practice put in the car.</v>
      </c>
    </row>
    <row r="16">
      <c r="A16" s="1">
        <v>5.0</v>
      </c>
      <c r="B16" s="1" t="s">
        <v>17</v>
      </c>
      <c r="C16" t="str">
        <f>IFERROR(__xludf.DUMMYFUNCTION("GOOGLETRANSLATE(B16, ""fr"", ""en"")"),"Consistent with the description, good quality consistent with the description, good quality")</f>
        <v>Consistent with the description, good quality consistent with the description, good quality</v>
      </c>
    </row>
    <row r="17">
      <c r="A17" s="1">
        <v>5.0</v>
      </c>
      <c r="B17" s="1" t="s">
        <v>18</v>
      </c>
      <c r="C17" t="str">
        <f>IFERROR(__xludf.DUMMYFUNCTION("GOOGLETRANSLATE(B17, ""fr"", ""en"")"),"Very powerful. Weight adapted, easy grip, even hold a charge. The vibrations are very powerful and effective. The 25 modes are fun, and it is simple to clean. In short, no complaints :)")</f>
        <v>Very powerful. Weight adapted, easy grip, even hold a charge. The vibrations are very powerful and effective. The 25 modes are fun, and it is simple to clean. In short, no complaints :)</v>
      </c>
    </row>
    <row r="18">
      <c r="A18" s="1">
        <v>5.0</v>
      </c>
      <c r="B18" s="1" t="s">
        <v>19</v>
      </c>
      <c r="C18" t="str">
        <f>IFERROR(__xludf.DUMMYFUNCTION("GOOGLETRANSLATE(B18, ""fr"", ""en"")"),"La Perle Rare to have always ... Feel Self effective from the first use, oral lightness you invade for happiness never to lose that nice healthy mouth sensation and free of impurities. All these years looking for something to clean my tongue, make it pink"&amp;", brushing the latter, with various products etc ... This is the product I needed, thank you to his Creator And on Amazon shop selling this product ...")</f>
        <v>La Perle Rare to have always ... Feel Self effective from the first use, oral lightness you invade for happiness never to lose that nice healthy mouth sensation and free of impurities. All these years looking for something to clean my tongue, make it pink, brushing the latter, with various products etc ... This is the product I needed, thank you to his Creator And on Amazon shop selling this product ...</v>
      </c>
    </row>
    <row r="19">
      <c r="A19" s="1">
        <v>5.0</v>
      </c>
      <c r="B19" s="1" t="s">
        <v>20</v>
      </c>
      <c r="C19" t="str">
        <f>IFERROR(__xludf.DUMMYFUNCTION("GOOGLETRANSLATE(B19, ""fr"", ""en"")"),"No worries, shoes conform to the description and Warerproof No worries, they are true. These are leather shoes, so stiff at first. The logo is the right size. Nothing suspicious about the shoe. Comes in a Timberland box. Tim possessor before, I'm happy to"&amp;" get me again and especially at this price. I put on the Nike 42 which corresponds to 41 Timberland (guide comparing sizes of 2 brands) so I also advise to take a size smaller.")</f>
        <v>No worries, shoes conform to the description and Warerproof No worries, they are true. These are leather shoes, so stiff at first. The logo is the right size. Nothing suspicious about the shoe. Comes in a Timberland box. Tim possessor before, I'm happy to get me again and especially at this price. I put on the Nike 42 which corresponds to 41 Timberland (guide comparing sizes of 2 brands) so I also advise to take a size smaller.</v>
      </c>
    </row>
    <row r="20">
      <c r="A20" s="1">
        <v>5.0</v>
      </c>
      <c r="B20" s="1" t="s">
        <v>21</v>
      </c>
      <c r="C20" t="str">
        <f>IFERROR(__xludf.DUMMYFUNCTION("GOOGLETRANSLATE(B20, ""fr"", ""en"")"),"Bluetooth Earpiece without queue, Willful &lt;div id = ""video-block-RMY88ODQAX96W"" class = ""a-section-spacing-small in-spacing-top mini video-block""&gt; &lt;/ div&gt; &lt;input type = ""hidden ""name ="" ""value ="" https://images-eu.ssl-images-amazon.com/images/I/C"&amp;"1eGUu2XbaS.mp4 ""class ="" video-url ""&gt; &lt;input type ="" hidden ""name ="" ""value ="" https://images-eu.ssl-images-amazon.com/images/I/91D79GluimS.png ""class ="" video-slate-img-url ""&gt; &amp; nbsp; I bought these headphones because the my phone port stops w"&amp;"orking m, well these headphones are fine. These headphones take the load well the song is more clear I did not care for the calls they have a built-in microphone. I'm really happy with my purchase and highly recommend. In the delivery I received it in 24 "&amp;"hours.")</f>
        <v>Bluetooth Earpiece without queue, Willful &lt;div id = "video-block-RMY88ODQAX96W" class = "a-section-spacing-small in-spacing-top mini video-block"&gt; &lt;/ div&gt; &lt;input type = "hidden "name =" "value =" https://images-eu.ssl-images-amazon.com/images/I/C1eGUu2XbaS.mp4 "class =" video-url "&gt; &lt;input type =" hidden "name =" "value =" https://images-eu.ssl-images-amazon.com/images/I/91D79GluimS.png "class =" video-slate-img-url "&gt; &amp; nbsp; I bought these headphones because the my phone port stops working m, well these headphones are fine. These headphones take the load well the song is more clear I did not care for the calls they have a built-in microphone. I'm really happy with my purchase and highly recommend. In the delivery I received it in 24 hours.</v>
      </c>
    </row>
    <row r="21">
      <c r="A21" s="1">
        <v>5.0</v>
      </c>
      <c r="B21" s="1" t="s">
        <v>22</v>
      </c>
      <c r="C21" t="str">
        <f>IFERROR(__xludf.DUMMYFUNCTION("GOOGLETRANSLATE(B21, ""fr"", ""en"")"),"Indispensable Excellent product! Convenient and easy to use ... I pass by me ^^")</f>
        <v>Indispensable Excellent product! Convenient and easy to use ... I pass by me ^^</v>
      </c>
    </row>
    <row r="22">
      <c r="A22" s="1">
        <v>2.0</v>
      </c>
      <c r="B22" s="1" t="s">
        <v>23</v>
      </c>
      <c r="C22" t="str">
        <f>IFERROR(__xludf.DUMMYFUNCTION("GOOGLETRANSLATE(B22, ""fr"", ""en"")"),"gadget gift idea is nice, but the quality slippers and even the cover is not qualitative. But the effect was present there!")</f>
        <v>gadget gift idea is nice, but the quality slippers and even the cover is not qualitative. But the effect was present there!</v>
      </c>
    </row>
    <row r="23">
      <c r="A23" s="1">
        <v>1.0</v>
      </c>
      <c r="B23" s="1" t="s">
        <v>24</v>
      </c>
      <c r="C23" t="str">
        <f>IFERROR(__xludf.DUMMYFUNCTION("GOOGLETRANSLATE(B23, ""fr"", ""en"")"),"Not terrible exact Size Matter - not practical because of the dust. They get dirty easily and can be cleaned very easily. Price - a bit expensive for such finishes - disappointed because normally produced well worked. Already damaged because of finishes -"&amp;" after just two months of use")</f>
        <v>Not terrible exact Size Matter - not practical because of the dust. They get dirty easily and can be cleaned very easily. Price - a bit expensive for such finishes - disappointed because normally produced well worked. Already damaged because of finishes - after just two months of use</v>
      </c>
    </row>
    <row r="24">
      <c r="A24" s="1">
        <v>3.0</v>
      </c>
      <c r="B24" s="1" t="s">
        <v>25</v>
      </c>
      <c r="C24" t="str">
        <f>IFERROR(__xludf.DUMMYFUNCTION("GOOGLETRANSLATE(B24, ""fr"", ""en"")"),"shoes like slippers! I have problems with a foot (onion), so it takes me very soft shoes. With these (I had tried in stores before) I have no douleur.C'est pure pleasure of souplesse.Je love them for that. However, the sole is a little lighter and not sop"&amp;"histicated. What makes a summer shoe a little lightly.")</f>
        <v>shoes like slippers! I have problems with a foot (onion), so it takes me very soft shoes. With these (I had tried in stores before) I have no douleur.C'est pure pleasure of souplesse.Je love them for that. However, the sole is a little lighter and not sophisticated. What makes a summer shoe a little lightly.</v>
      </c>
    </row>
    <row r="25">
      <c r="A25" s="1">
        <v>4.0</v>
      </c>
      <c r="B25" s="1" t="s">
        <v>26</v>
      </c>
      <c r="C25" t="str">
        <f>IFERROR(__xludf.DUMMYFUNCTION("GOOGLETRANSLATE(B25, ""fr"", ""en"")"),"Good socks I wear them for a year when it's hot, and they have aged well. No pilling, no holes, no discoloration. 4 stars because of the composition (65% cotton), which may make them a little uncomfortable.")</f>
        <v>Good socks I wear them for a year when it's hot, and they have aged well. No pilling, no holes, no discoloration. 4 stars because of the composition (65% cotton), which may make them a little uncomfortable.</v>
      </c>
    </row>
    <row r="26">
      <c r="A26" s="1">
        <v>4.0</v>
      </c>
      <c r="B26" s="1" t="s">
        <v>27</v>
      </c>
      <c r="C26" t="str">
        <f>IFERROR(__xludf.DUMMYFUNCTION("GOOGLETRANSLATE(B26, ""fr"", ""en"")"),"Convenient for trips and night awakenings metering boxes handy for outings because avoids carry whole milk pot well as awakenings at night as possible to go fast when you're tired and baby crying for his bottle. For the moment I have set maximum 6 doses b"&amp;"ecause baby has not yet reached the 9 indicated dose max; but the capacity does allow to + 6 doses. The spout is very useful because avoids reverse side. The boxes are easy to clean and dry, so far they have never loosened during transport. The only drawb"&amp;"ack is that it must maintain the right boxes for the fit and well screwed together. Except as value therefore satisfied the purchase price.")</f>
        <v>Convenient for trips and night awakenings metering boxes handy for outings because avoids carry whole milk pot well as awakenings at night as possible to go fast when you're tired and baby crying for his bottle. For the moment I have set maximum 6 doses because baby has not yet reached the 9 indicated dose max; but the capacity does allow to + 6 doses. The spout is very useful because avoids reverse side. The boxes are easy to clean and dry, so far they have never loosened during transport. The only drawback is that it must maintain the right boxes for the fit and well screwed together. Except as value therefore satisfied the purchase price.</v>
      </c>
    </row>
    <row r="27">
      <c r="A27" s="1">
        <v>4.0</v>
      </c>
      <c r="B27" s="1" t="s">
        <v>28</v>
      </c>
      <c r="C27" t="str">
        <f>IFERROR(__xludf.DUMMYFUNCTION("GOOGLETRANSLATE(B27, ""fr"", ""en"")"),"Comfortable Good buy, however, requires the heat for three to four minutes to get the right température.je took it out of the microwave every minute to mix the seeds and prevent burning.")</f>
        <v>Comfortable Good buy, however, requires the heat for three to four minutes to get the right température.je took it out of the microwave every minute to mix the seeds and prevent burning.</v>
      </c>
    </row>
    <row r="28">
      <c r="A28" s="1">
        <v>4.0</v>
      </c>
      <c r="B28" s="1" t="s">
        <v>29</v>
      </c>
      <c r="C28" t="str">
        <f>IFERROR(__xludf.DUMMYFUNCTION("GOOGLETRANSLATE(B28, ""fr"", ""en"")"),"Small but nice Very very small very discreet. But pretty.")</f>
        <v>Small but nice Very very small very discreet. But pretty.</v>
      </c>
    </row>
    <row r="29">
      <c r="A29" s="1">
        <v>5.0</v>
      </c>
      <c r="B29" s="1" t="s">
        <v>30</v>
      </c>
      <c r="C29" t="str">
        <f>IFERROR(__xludf.DUMMYFUNCTION("GOOGLETRANSLATE(B29, ""fr"", ""en"")"),"Very good product Good product - sending fast - I recommend")</f>
        <v>Very good product Good product - sending fast - I recommend</v>
      </c>
    </row>
    <row r="30">
      <c r="A30" s="1">
        <v>5.0</v>
      </c>
      <c r="B30" s="1" t="s">
        <v>31</v>
      </c>
      <c r="C30" t="str">
        <f>IFERROR(__xludf.DUMMYFUNCTION("GOOGLETRANSLATE(B30, ""fr"", ""en"")"),"To my great job not heavy and very convenient means Super great heavy and not very well adapted to my ear")</f>
        <v>To my great job not heavy and very convenient means Super great heavy and not very well adapted to my ear</v>
      </c>
    </row>
    <row r="31">
      <c r="A31" s="1">
        <v>5.0</v>
      </c>
      <c r="B31" s="1" t="s">
        <v>32</v>
      </c>
      <c r="C31" t="str">
        <f>IFERROR(__xludf.DUMMYFUNCTION("GOOGLETRANSLATE(B31, ""fr"", ""en"")"),"I recommend Gift which made its effect! Very good sound, comfortable ear. Nothing to say I highly recommend it!")</f>
        <v>I recommend Gift which made its effect! Very good sound, comfortable ear. Nothing to say I highly recommend it!</v>
      </c>
    </row>
    <row r="32">
      <c r="A32" s="1">
        <v>5.0</v>
      </c>
      <c r="B32" s="1" t="s">
        <v>33</v>
      </c>
      <c r="C32" t="str">
        <f>IFERROR(__xludf.DUMMYFUNCTION("GOOGLETRANSLATE(B32, ""fr"", ""en"")"),"Perfect Very good product. It is perfect for the neck or skull back. I really recommend")</f>
        <v>Perfect Very good product. It is perfect for the neck or skull back. I really recommend</v>
      </c>
    </row>
    <row r="33">
      <c r="A33" s="1">
        <v>5.0</v>
      </c>
      <c r="B33" s="1" t="s">
        <v>34</v>
      </c>
      <c r="C33" t="str">
        <f>IFERROR(__xludf.DUMMYFUNCTION("GOOGLETRANSLATE(B33, ""fr"", ""en"")"),"Flawless Very nice product, purchased version of ""wood"" the device is plastic with a wood aesthetic appearance. This diffuser is very effective and the game very visually pleasing light")</f>
        <v>Flawless Very nice product, purchased version of "wood" the device is plastic with a wood aesthetic appearance. This diffuser is very effective and the game very visually pleasing light</v>
      </c>
    </row>
    <row r="34">
      <c r="A34" s="1">
        <v>5.0</v>
      </c>
      <c r="B34" s="1" t="s">
        <v>35</v>
      </c>
      <c r="C34" t="str">
        <f>IFERROR(__xludf.DUMMYFUNCTION("GOOGLETRANSLATE(B34, ""fr"", ""en"")"),"Perfect is perfect very beautiful and elegant I have been able to offer a wrist adornment necklace Christmas. Mom love it is beautiful to wear. I recommend it without hesitation.")</f>
        <v>Perfect is perfect very beautiful and elegant I have been able to offer a wrist adornment necklace Christmas. Mom love it is beautiful to wear. I recommend it without hesitation.</v>
      </c>
    </row>
    <row r="35">
      <c r="A35" s="1">
        <v>5.0</v>
      </c>
      <c r="B35" s="1" t="s">
        <v>36</v>
      </c>
      <c r="C35" t="str">
        <f>IFERROR(__xludf.DUMMYFUNCTION("GOOGLETRANSLATE(B35, ""fr"", ""en"")"),"Pleasantly surprised I have a -brachiale neuralgia. With stress and anxiety after a day of work I need to relieve my neck and trapezius muscles. I bought this rug reading the reviews. When I test the first time for 30 minutes I have not felt the sensation"&amp;" of well being. But from the second time I was overwhelmed by an intense feeling of well being to have a broad smile. For me it's mostly the cushion that I appreciate the most. However it is the carpet does not reach the trapezoids. Il.y has un.vide betwe"&amp;"en the cushion and carpet. So I place a small pillow underneath. In addition, the carpet is not wide enough. My arms do not benefit. In any case it is a discovery bonne.n especially since I was very skeptical.")</f>
        <v>Pleasantly surprised I have a -brachiale neuralgia. With stress and anxiety after a day of work I need to relieve my neck and trapezius muscles. I bought this rug reading the reviews. When I test the first time for 30 minutes I have not felt the sensation of well being. But from the second time I was overwhelmed by an intense feeling of well being to have a broad smile. For me it's mostly the cushion that I appreciate the most. However it is the carpet does not reach the trapezoids. Il.y has un.vide between the cushion and carpet. So I place a small pillow underneath. In addition, the carpet is not wide enough. My arms do not benefit. In any case it is a discovery bonne.n especially since I was very skeptical.</v>
      </c>
    </row>
    <row r="36">
      <c r="A36" s="1">
        <v>5.0</v>
      </c>
      <c r="B36" s="1" t="s">
        <v>37</v>
      </c>
      <c r="C36" t="str">
        <f>IFERROR(__xludf.DUMMYFUNCTION("GOOGLETRANSLATE(B36, ""fr"", ""en"")"),"very happy These sealing discs can be transported empty and sterile bottles or containing baby milk with a ring and not with the nipple. Moreover, these drives are designed to fit all types of bottles Advent (old and new model), while the former do not go"&amp;" on natural models. Thus we can carry the bottle quietly in the diaper bag until the warm up for giving a baby. I am very satisfied and recommend it to all moms who like to walk with their baby.")</f>
        <v>very happy These sealing discs can be transported empty and sterile bottles or containing baby milk with a ring and not with the nipple. Moreover, these drives are designed to fit all types of bottles Advent (old and new model), while the former do not go on natural models. Thus we can carry the bottle quietly in the diaper bag until the warm up for giving a baby. I am very satisfied and recommend it to all moms who like to walk with their baby.</v>
      </c>
    </row>
    <row r="37">
      <c r="A37" s="1">
        <v>5.0</v>
      </c>
      <c r="B37" s="1" t="s">
        <v>38</v>
      </c>
      <c r="C37" t="str">
        <f>IFERROR(__xludf.DUMMYFUNCTION("GOOGLETRANSLATE(B37, ""fr"", ""en"")"),"Perfect!!! Great value for money, I am highly satisfied with the product and the speed of delivery ...")</f>
        <v>Perfect!!! Great value for money, I am highly satisfied with the product and the speed of delivery ...</v>
      </c>
    </row>
    <row r="38">
      <c r="A38" s="1">
        <v>5.0</v>
      </c>
      <c r="B38" s="1" t="s">
        <v>39</v>
      </c>
      <c r="C38" t="str">
        <f>IFERROR(__xludf.DUMMYFUNCTION("GOOGLETRANSLATE(B38, ""fr"", ""en"")"),"Paper of Armenia Paris' La Rose This nifty little notebook (8 x 5.5 cm) carries the scent of incense, a rose scent added to that of benzoin. It is in a dozen layers, each pre-cut into three strips. Simply detach one, fold it accordion, gently put the fire"&amp;" and blow over quickly to extinguish the flame. The paper should smolder in a saucer. Between the bottom of the support and the paper, I have small pebble glass. Thus, the paper burns better, in full. He comes to the end of difficult to remove odors. Thos"&amp;"e of a raclette eg 'The brown leaves give off an aroma of rose. As well enjoy simply by storing them in the linen closet. By burning it fades while spreading the delicate flowery effluvium. The volatilized odors, I open large windows. Nothing beats the gr"&amp;"eat outside air for ventilation of an interior. The scent of residue remains when one is in its immediate vicinity. Do not hesitate to make a turn in organic stores, drugstore occasionally. It is found easily for less than three euros. This is an old way,"&amp;" very simple, ingenious, efficient, economical, to flavor and / or clean rooms. The only drawback: strong enough, it is not to everyone's liking. If you do not like the scent of roses Paper triple Armenia, the original. &lt;A data-hook = ""product-link-linke"&amp;"d"" class = ""a-link-normal"" href = ""/ PAPER-ARMENIA-TRIPLE-book-of-12 / dp / B00ECV0S1Y / ref = cm_cr_getr_d_rvw_txt? Ie = UTF8"" &gt; PAPER ARMENIA TRIPLE book 12 &lt;/a&gt; Paper of Armenia, softer and less heady than the original. &lt;A data-hook = ""product-li"&amp;"nk-linked"" class = ""a-link-normal"" href = ""/ PAPER D-ARMENIA-book-of-12 greens / dp / B0017DPRVQ / ref = cm_cr_getr_d_rvw_txt? Ie = UTF8 ""&gt; PAPER oF ARMENIA 12 sheets of notebook &lt;/a&gt;")</f>
        <v>Paper of Armenia Paris' La Rose This nifty little notebook (8 x 5.5 cm) carries the scent of incense, a rose scent added to that of benzoin. It is in a dozen layers, each pre-cut into three strips. Simply detach one, fold it accordion, gently put the fire and blow over quickly to extinguish the flame. The paper should smolder in a saucer. Between the bottom of the support and the paper, I have small pebble glass. Thus, the paper burns better, in full. He comes to the end of difficult to remove odors. Those of a raclette eg 'The brown leaves give off an aroma of rose. As well enjoy simply by storing them in the linen closet. By burning it fades while spreading the delicate flowery effluvium. The volatilized odors, I open large windows. Nothing beats the great outside air for ventilation of an interior. The scent of residue remains when one is in its immediate vicinity. Do not hesitate to make a turn in organic stores, drugstore occasionally. It is found easily for less than three euros. This is an old way, very simple, ingenious, efficient, economical, to flavor and / or clean rooms. The only drawback: strong enough, it is not to everyone's liking. If you do not like the scent of roses Paper triple Armenia, the original. &lt;A data-hook = "product-link-linked" class = "a-link-normal" href = "/ PAPER-ARMENIA-TRIPLE-book-of-12 / dp / B00ECV0S1Y / ref = cm_cr_getr_d_rvw_txt? Ie = UTF8" &gt; PAPER ARMENIA TRIPLE book 12 &lt;/a&gt; Paper of Armenia, softer and less heady than the original. &lt;A data-hook = "product-link-linked" class = "a-link-normal" href = "/ PAPER D-ARMENIA-book-of-12 greens / dp / B0017DPRVQ / ref = cm_cr_getr_d_rvw_txt? Ie = UTF8 "&gt; PAPER oF ARMENIA 12 sheets of notebook &lt;/a&gt;</v>
      </c>
    </row>
    <row r="39">
      <c r="A39" s="1">
        <v>5.0</v>
      </c>
      <c r="B39" s="1" t="s">
        <v>40</v>
      </c>
      <c r="C39" t="str">
        <f>IFERROR(__xludf.DUMMYFUNCTION("GOOGLETRANSLATE(B39, ""fr"", ""en"")"),"Meets Dress classy, ​​good size greenhouse")</f>
        <v>Meets Dress classy, ​​good size greenhouse</v>
      </c>
    </row>
    <row r="40">
      <c r="A40" s="1">
        <v>5.0</v>
      </c>
      <c r="B40" s="1" t="s">
        <v>41</v>
      </c>
      <c r="C40" t="str">
        <f>IFERROR(__xludf.DUMMYFUNCTION("GOOGLETRANSLATE(B40, ""fr"", ""en"")"),"Very good quality Very good warned however that slightly small size anyway for the top")</f>
        <v>Very good quality Very good warned however that slightly small size anyway for the top</v>
      </c>
    </row>
    <row r="41">
      <c r="A41" s="1">
        <v>5.0</v>
      </c>
      <c r="B41" s="1" t="s">
        <v>42</v>
      </c>
      <c r="C41" t="str">
        <f>IFERROR(__xludf.DUMMYFUNCTION("GOOGLETRANSLATE(B41, ""fr"", ""en"")"),"bluetooth headphones Seeing everyone with wireless headphones I wanted to try. I chose the black color, they are beautiful and I love the texture. The sound quality is ok for the price, I had a little trouble with the touch at first but now it's good.")</f>
        <v>bluetooth headphones Seeing everyone with wireless headphones I wanted to try. I chose the black color, they are beautiful and I love the texture. The sound quality is ok for the price, I had a little trouble with the touch at first but now it's good.</v>
      </c>
    </row>
    <row r="42">
      <c r="A42" s="1">
        <v>5.0</v>
      </c>
      <c r="B42" s="1" t="s">
        <v>43</v>
      </c>
      <c r="C42" t="str">
        <f>IFERROR(__xludf.DUMMYFUNCTION("GOOGLETRANSLATE(B42, ""fr"", ""en"")"),"Basic but effective Easy to install just a black cartridge and a color")</f>
        <v>Basic but effective Easy to install just a black cartridge and a color</v>
      </c>
    </row>
    <row r="43">
      <c r="A43" s="1">
        <v>5.0</v>
      </c>
      <c r="B43" s="1" t="s">
        <v>44</v>
      </c>
      <c r="C43" t="str">
        <f>IFERROR(__xludf.DUMMYFUNCTION("GOOGLETRANSLATE(B43, ""fr"", ""en"")"),"Produced at the top I am very satisfied with this product. I am delighted by its quality and means they can work in programming level for my son. I highly recommend this product as a solid and as much for its price / quality ratio.")</f>
        <v>Produced at the top I am very satisfied with this product. I am delighted by its quality and means they can work in programming level for my son. I highly recommend this product as a solid and as much for its price / quality ratio.</v>
      </c>
    </row>
    <row r="44">
      <c r="A44" s="1">
        <v>2.0</v>
      </c>
      <c r="B44" s="1" t="s">
        <v>45</v>
      </c>
      <c r="C44" t="str">
        <f>IFERROR(__xludf.DUMMYFUNCTION("GOOGLETRANSLATE(B44, ""fr"", ""en"")"),"Being good in it is not the qua She too bad his foot")</f>
        <v>Being good in it is not the qua She too bad his foot</v>
      </c>
    </row>
    <row r="45">
      <c r="A45" s="1">
        <v>1.0</v>
      </c>
      <c r="B45" s="1" t="s">
        <v>46</v>
      </c>
      <c r="C45" t="str">
        <f>IFERROR(__xludf.DUMMYFUNCTION("GOOGLETRANSLATE(B45, ""fr"", ""en"")"),"Scam I have received one of 5 reams of paper scam huge. The photo is against cardboard 5x500 sheets, it is not up to me to tell me that the picture of the product shown is not the product. pathetic and incompetent company.")</f>
        <v>Scam I have received one of 5 reams of paper scam huge. The photo is against cardboard 5x500 sheets, it is not up to me to tell me that the picture of the product shown is not the product. pathetic and incompetent company.</v>
      </c>
    </row>
    <row r="46">
      <c r="A46" s="1">
        <v>3.0</v>
      </c>
      <c r="B46" s="1" t="s">
        <v>47</v>
      </c>
      <c r="C46" t="str">
        <f>IFERROR(__xludf.DUMMYFUNCTION("GOOGLETRANSLATE(B46, ""fr"", ""en"")"),"Perfect to start. Very good package to start with our baby cabbage and decor is nice !! Not worth taking boxes with more bottles to start.")</f>
        <v>Perfect to start. Very good package to start with our baby cabbage and decor is nice !! Not worth taking boxes with more bottles to start.</v>
      </c>
    </row>
    <row r="47">
      <c r="A47" s="1">
        <v>4.0</v>
      </c>
      <c r="B47" s="1" t="s">
        <v>48</v>
      </c>
      <c r="C47" t="str">
        <f>IFERROR(__xludf.DUMMYFUNCTION("GOOGLETRANSLATE(B47, ""fr"", ""en"")"),"good quality ! for proffessionellles reason ..")</f>
        <v>good quality ! for proffessionellles reason ..</v>
      </c>
    </row>
    <row r="48">
      <c r="A48" s="1">
        <v>4.0</v>
      </c>
      <c r="B48" s="1" t="s">
        <v>49</v>
      </c>
      <c r="C48" t="str">
        <f>IFERROR(__xludf.DUMMYFUNCTION("GOOGLETRANSLATE(B48, ""fr"", ""en"")"),"Good product good product in relation to the quality and price.")</f>
        <v>Good product good product in relation to the quality and price.</v>
      </c>
    </row>
    <row r="49">
      <c r="A49" s="1">
        <v>4.0</v>
      </c>
      <c r="B49" s="1" t="s">
        <v>50</v>
      </c>
      <c r="C49" t="str">
        <f>IFERROR(__xludf.DUMMYFUNCTION("GOOGLETRANSLATE(B49, ""fr"", ""en"")"),"Fast delivery, nice shoes to wear ...... and low price. Comfortable shoes at low prices. ...")</f>
        <v>Fast delivery, nice shoes to wear ...... and low price. Comfortable shoes at low prices. ...</v>
      </c>
    </row>
    <row r="50">
      <c r="A50" s="1">
        <v>4.0</v>
      </c>
      <c r="B50" s="1" t="s">
        <v>51</v>
      </c>
      <c r="C50" t="str">
        <f>IFERROR(__xludf.DUMMYFUNCTION("GOOGLETRANSLATE(B50, ""fr"", ""en"")"),"Quite a bit big but nice")</f>
        <v>Quite a bit big but nice</v>
      </c>
    </row>
    <row r="51">
      <c r="A51" s="1">
        <v>5.0</v>
      </c>
      <c r="B51" s="1" t="s">
        <v>52</v>
      </c>
      <c r="C51" t="str">
        <f>IFERROR(__xludf.DUMMYFUNCTION("GOOGLETRANSLATE(B51, ""fr"", ""en"")"),"SOOTHING MOISTURE AND CORRECTED DEFECTS Ideal when you have imperfections due to dry skin. In an application in the evening, they are gone !! Please note that this oil stain clothing and bedding irreversibly and that's the only negative I found ... I reco"&amp;"mmend this purchase, which for me is perfect for me.")</f>
        <v>SOOTHING MOISTURE AND CORRECTED DEFECTS Ideal when you have imperfections due to dry skin. In an application in the evening, they are gone !! Please note that this oil stain clothing and bedding irreversibly and that's the only negative I found ... I recommend this purchase, which for me is perfect for me.</v>
      </c>
    </row>
    <row r="52">
      <c r="A52" s="1">
        <v>5.0</v>
      </c>
      <c r="B52" s="1" t="s">
        <v>53</v>
      </c>
      <c r="C52" t="str">
        <f>IFERROR(__xludf.DUMMYFUNCTION("GOOGLETRANSLATE(B52, ""fr"", ""en"")"),"The article description Ras")</f>
        <v>The article description Ras</v>
      </c>
    </row>
    <row r="53">
      <c r="A53" s="1">
        <v>5.0</v>
      </c>
      <c r="B53" s="1" t="s">
        <v>54</v>
      </c>
      <c r="C53" t="str">
        <f>IFERROR(__xludf.DUMMYFUNCTION("GOOGLETRANSLATE(B53, ""fr"", ""en"")"),"Glad I ordered the nipple is beautiful I recommend it to all !! And I want to know if I recommend a second are that I have a different color than I have because I have to have a still afraid I love orange purple thank you a pacifier")</f>
        <v>Glad I ordered the nipple is beautiful I recommend it to all !! And I want to know if I recommend a second are that I have a different color than I have because I have to have a still afraid I love orange purple thank you a pacifier</v>
      </c>
    </row>
    <row r="54">
      <c r="A54" s="1">
        <v>5.0</v>
      </c>
      <c r="B54" s="1" t="s">
        <v>55</v>
      </c>
      <c r="C54" t="str">
        <f>IFERROR(__xludf.DUMMYFUNCTION("GOOGLETRANSLATE(B54, ""fr"", ""en"")"),"Very happy very satisfied with my product we do come back regularly. So far we have always been pleased with our orders.")</f>
        <v>Very happy very satisfied with my product we do come back regularly. So far we have always been pleased with our orders.</v>
      </c>
    </row>
    <row r="55">
      <c r="A55" s="1">
        <v>5.0</v>
      </c>
      <c r="B55" s="1" t="s">
        <v>56</v>
      </c>
      <c r="C55" t="str">
        <f>IFERROR(__xludf.DUMMYFUNCTION("GOOGLETRANSLATE(B55, ""fr"", ""en"")"),"Very good helmet. Wonderful wireless headset. First time that I use, I do not change for a wireless headset.")</f>
        <v>Very good helmet. Wonderful wireless headset. First time that I use, I do not change for a wireless headset.</v>
      </c>
    </row>
    <row r="56">
      <c r="A56" s="1">
        <v>5.0</v>
      </c>
      <c r="B56" s="1" t="s">
        <v>57</v>
      </c>
      <c r="C56" t="str">
        <f>IFERROR(__xludf.DUMMYFUNCTION("GOOGLETRANSLATE(B56, ""fr"", ""en"")"),"The style I love the top super-light, pleasant to walk, you would not think of safety shoes, too well with gauchos")</f>
        <v>The style I love the top super-light, pleasant to walk, you would not think of safety shoes, too well with gauchos</v>
      </c>
    </row>
    <row r="57">
      <c r="A57" s="1">
        <v>5.0</v>
      </c>
      <c r="B57" s="1" t="s">
        <v>58</v>
      </c>
      <c r="C57" t="str">
        <f>IFERROR(__xludf.DUMMYFUNCTION("GOOGLETRANSLATE(B57, ""fr"", ""en"")"),"These good perfume perfumes smell good smell They have a very good performance. Also the bottles are actually very good super easy safe door was everywhere")</f>
        <v>These good perfume perfumes smell good smell They have a very good performance. Also the bottles are actually very good super easy safe door was everywhere</v>
      </c>
    </row>
    <row r="58">
      <c r="A58" s="1">
        <v>5.0</v>
      </c>
      <c r="B58" s="1" t="s">
        <v>59</v>
      </c>
      <c r="C58" t="str">
        <f>IFERROR(__xludf.DUMMYFUNCTION("GOOGLETRANSLATE(B58, ""fr"", ""en"")"),"TOP Great value for money")</f>
        <v>TOP Great value for money</v>
      </c>
    </row>
    <row r="59">
      <c r="A59" s="1">
        <v>5.0</v>
      </c>
      <c r="B59" s="1" t="s">
        <v>60</v>
      </c>
      <c r="C59" t="str">
        <f>IFERROR(__xludf.DUMMYFUNCTION("GOOGLETRANSLATE(B59, ""fr"", ""en"")"),"warm and comfortable equipped for winter with these turnovers filled. Thank you and I hope in the spring.")</f>
        <v>warm and comfortable equipped for winter with these turnovers filled. Thank you and I hope in the spring.</v>
      </c>
    </row>
    <row r="60">
      <c r="A60" s="1">
        <v>5.0</v>
      </c>
      <c r="B60" s="1" t="s">
        <v>61</v>
      </c>
      <c r="C60" t="str">
        <f>IFERROR(__xludf.DUMMYFUNCTION("GOOGLETRANSLATE(B60, ""fr"", ""en"")"),"GOOD PRODUCT Very good and economical. Adopted for many years ............")</f>
        <v>GOOD PRODUCT Very good and economical. Adopted for many years ............</v>
      </c>
    </row>
    <row r="61">
      <c r="A61" s="1">
        <v>5.0</v>
      </c>
      <c r="B61" s="1" t="s">
        <v>62</v>
      </c>
      <c r="C61" t="str">
        <f>IFERROR(__xludf.DUMMYFUNCTION("GOOGLETRANSLATE(B61, ""fr"", ""en"")"),"Good sound. Perfect for listening to the stereo, I'm not disappointed with the product.")</f>
        <v>Good sound. Perfect for listening to the stereo, I'm not disappointed with the product.</v>
      </c>
    </row>
    <row r="62">
      <c r="A62" s="1">
        <v>5.0</v>
      </c>
      <c r="B62" s="1" t="s">
        <v>63</v>
      </c>
      <c r="C62" t="str">
        <f>IFERROR(__xludf.DUMMYFUNCTION("GOOGLETRANSLATE(B62, ""fr"", ""en"")"),"awesome best sprinklers beyond dispute! practice with the small brush to the nipple; hygienic because standing stands on the edge of the sink, effective to clean and solid.")</f>
        <v>awesome best sprinklers beyond dispute! practice with the small brush to the nipple; hygienic because standing stands on the edge of the sink, effective to clean and solid.</v>
      </c>
    </row>
    <row r="63">
      <c r="A63" s="1">
        <v>5.0</v>
      </c>
      <c r="B63" s="1" t="s">
        <v>64</v>
      </c>
      <c r="C63" t="str">
        <f>IFERROR(__xludf.DUMMYFUNCTION("GOOGLETRANSLATE(B63, ""fr"", ""en"")"),"Super shoes Finally really comfortable safety footwear you'd sneakers, very light, really disappointed especially during my working 7am I walk a lot, I highly recommend.")</f>
        <v>Super shoes Finally really comfortable safety footwear you'd sneakers, very light, really disappointed especially during my working 7am I walk a lot, I highly recommend.</v>
      </c>
    </row>
    <row r="64">
      <c r="A64" s="1">
        <v>5.0</v>
      </c>
      <c r="B64" s="1" t="s">
        <v>65</v>
      </c>
      <c r="C64" t="str">
        <f>IFERROR(__xludf.DUMMYFUNCTION("GOOGLETRANSLATE(B64, ""fr"", ""en"")"),"Comfort, warmth and waterproofing proven Hue compliant and come with an extra pair of laces, red. Very appreciated, the color contrast resulting to better orient themselves in the lacing. Footwear usually of 40, but knowing that they are filled and I want"&amp;"ed to hiking socks, I opted for a size 41, and took me well. That said, once received, immediately ""baptized"" in a walk of about an hour and a half with my dog, in pouring rain. The effectiveness of anti-slip soles have also proven, not on snow but on w"&amp;"aterlogged roads, particularly muddy. It was the feeling of wearing slippers, as they are comfortable while having well kept feet warm and dry. Back from the walk, I noticed that the inside showed no moisture, dries out quickly. In conclusion, conquered b"&amp;"y these shoes, though remains to be seen what this will give life side. At your disposal for any questions, go through the ""Comment"", I will answer with pleasure.")</f>
        <v>Comfort, warmth and waterproofing proven Hue compliant and come with an extra pair of laces, red. Very appreciated, the color contrast resulting to better orient themselves in the lacing. Footwear usually of 40, but knowing that they are filled and I wanted to hiking socks, I opted for a size 41, and took me well. That said, once received, immediately "baptized" in a walk of about an hour and a half with my dog, in pouring rain. The effectiveness of anti-slip soles have also proven, not on snow but on waterlogged roads, particularly muddy. It was the feeling of wearing slippers, as they are comfortable while having well kept feet warm and dry. Back from the walk, I noticed that the inside showed no moisture, dries out quickly. In conclusion, conquered by these shoes, though remains to be seen what this will give life side. At your disposal for any questions, go through the "Comment", I will answer with pleasure.</v>
      </c>
    </row>
    <row r="65">
      <c r="A65" s="1">
        <v>5.0</v>
      </c>
      <c r="B65" s="1" t="s">
        <v>66</v>
      </c>
      <c r="C65" t="str">
        <f>IFERROR(__xludf.DUMMYFUNCTION("GOOGLETRANSLATE(B65, ""fr"", ""en"")"),"100 bags with zip closure 60x80 mm Bags qualities. solid, tight, practice. I'm not disappointed with my purchase as much as the price is really reasonable. I recommend these small zip bags.")</f>
        <v>100 bags with zip closure 60x80 mm Bags qualities. solid, tight, practice. I'm not disappointed with my purchase as much as the price is really reasonable. I recommend these small zip bags.</v>
      </c>
    </row>
    <row r="66">
      <c r="A66" s="1">
        <v>2.0</v>
      </c>
      <c r="B66" s="1" t="s">
        <v>67</v>
      </c>
      <c r="C66" t="str">
        <f>IFERROR(__xludf.DUMMYFUNCTION("GOOGLETRANSLATE(B66, ""fr"", ""en"")"),"Jacket Disappointed we would rather sweat jacket coat")</f>
        <v>Jacket Disappointed we would rather sweat jacket coat</v>
      </c>
    </row>
    <row r="67">
      <c r="A67" s="1">
        <v>1.0</v>
      </c>
      <c r="B67" s="1" t="s">
        <v>68</v>
      </c>
      <c r="C67" t="str">
        <f>IFERROR(__xludf.DUMMYFUNCTION("GOOGLETRANSLATE(B67, ""fr"", ""en"")"),"Down after 30 minutes! Out of the box, barely used and already stopped. The little that I could test machine very slow, presence sensor not reactive paper and given the not clean cut paper, before the failure, I do not think in time this machine can do th"&amp;"e job.")</f>
        <v>Down after 30 minutes! Out of the box, barely used and already stopped. The little that I could test machine very slow, presence sensor not reactive paper and given the not clean cut paper, before the failure, I do not think in time this machine can do the job.</v>
      </c>
    </row>
    <row r="68">
      <c r="A68" s="1">
        <v>3.0</v>
      </c>
      <c r="B68" s="1" t="s">
        <v>69</v>
      </c>
      <c r="C68" t="str">
        <f>IFERROR(__xludf.DUMMYFUNCTION("GOOGLETRANSLATE(B68, ""fr"", ""en"")"),"Bose very disappointing product I use for cycling actité; mowing the lawn etc .... tips hurt the ears after a temps.on still feel we will lose the sound is OK but not exceptional. Point Plus they do not completely isolate the extérieurce which is a plus w"&amp;"hen we biked through against compelled to mow the grass up the volume loud enough .Before I possessed MPOW bluethoo 20 euros.Autant say I am very disappointed for 166 € I expected another chose.Réputation Bose overrated on this produit.Mon small son to bo"&amp;"ught MPOW same system that bose with charging station 49 € .Honnétement I saw difference with the bose.Pour a 3 * prices cheaper.")</f>
        <v>Bose very disappointing product I use for cycling actité; mowing the lawn etc .... tips hurt the ears after a temps.on still feel we will lose the sound is OK but not exceptional. Point Plus they do not completely isolate the extérieurce which is a plus when we biked through against compelled to mow the grass up the volume loud enough .Before I possessed MPOW bluethoo 20 euros.Autant say I am very disappointed for 166 € I expected another chose.Réputation Bose overrated on this produit.Mon small son to bought MPOW same system that bose with charging station 49 € .Honnétement I saw difference with the bose.Pour a 3 * prices cheaper.</v>
      </c>
    </row>
    <row r="69">
      <c r="A69" s="1">
        <v>4.0</v>
      </c>
      <c r="B69" s="1" t="s">
        <v>70</v>
      </c>
      <c r="C69" t="str">
        <f>IFERROR(__xludf.DUMMYFUNCTION("GOOGLETRANSLATE(B69, ""fr"", ""en"")"),"Good product The product is what I expected, a good value for money. The sizes correspond well as colors. After 3 washes, socks pilling a little bit but at this price, I can not find much to complain about.")</f>
        <v>Good product The product is what I expected, a good value for money. The sizes correspond well as colors. After 3 washes, socks pilling a little bit but at this price, I can not find much to complain about.</v>
      </c>
    </row>
    <row r="70">
      <c r="A70" s="1">
        <v>4.0</v>
      </c>
      <c r="B70" s="1" t="s">
        <v>71</v>
      </c>
      <c r="C70" t="str">
        <f>IFERROR(__xludf.DUMMYFUNCTION("GOOGLETRANSLATE(B70, ""fr"", ""en"")"),"Nice for original creations but ... The Blopens now you're famous: plastic refill teams pencils, in which one breath to perform stenciling with a blurred effect. This box corresponds as much as everyone else in this description. But this new version offer"&amp;"s interesting new features: - a BOX which serves DESK: it keeps the drawing sheet and also serves as a pencil holder; Attention therefore well open the box without damaging it! We can then put it all stencils and achievements; - the MOBILE to manufacture "&amp;"and decorate; - multicolored GLITTER for DECOR achievements. On this point, attention glue provided to tend to flow too fast, so the flakes are ""packages"" it is better that it is an adult who applies glue. The contrast flake do not go too fast the tube,"&amp;" it's pretty easy to apply. So far, everything is rather positive, but there in my black bridge: stencils are reusable certainly, but they are not easy to clean. While it is easy to do from the ink with a cloth, a damp cloth or sponge, but as they are fra"&amp;"gile, we must be very careful not to damage them: do not let the children! Furthermore, after cleaning, the ink was hands full: even if the ink hand after rubbing two or three hands, it is still unpleasant!")</f>
        <v>Nice for original creations but ... The Blopens now you're famous: plastic refill teams pencils, in which one breath to perform stenciling with a blurred effect. This box corresponds as much as everyone else in this description. But this new version offers interesting new features: - a BOX which serves DESK: it keeps the drawing sheet and also serves as a pencil holder; Attention therefore well open the box without damaging it! We can then put it all stencils and achievements; - the MOBILE to manufacture and decorate; - multicolored GLITTER for DECOR achievements. On this point, attention glue provided to tend to flow too fast, so the flakes are "packages" it is better that it is an adult who applies glue. The contrast flake do not go too fast the tube, it's pretty easy to apply. So far, everything is rather positive, but there in my black bridge: stencils are reusable certainly, but they are not easy to clean. While it is easy to do from the ink with a cloth, a damp cloth or sponge, but as they are fragile, we must be very careful not to damage them: do not let the children! Furthermore, after cleaning, the ink was hands full: even if the ink hand after rubbing two or three hands, it is still unpleasant!</v>
      </c>
    </row>
    <row r="71">
      <c r="A71" s="1">
        <v>4.0</v>
      </c>
      <c r="B71" s="1" t="s">
        <v>72</v>
      </c>
      <c r="C71" t="str">
        <f>IFERROR(__xludf.DUMMYFUNCTION("GOOGLETRANSLATE(B71, ""fr"", ""en"")"),"Size Warning !!! Quality and consistent delivery but attention to size when ordering! For example the predicted size ""BR 37-38 (39-40 EUR)"" is actually a good EUR 37-38 !!! There is an error on the site because I think the same with another different pa"&amp;"ir Havainas controlled.")</f>
        <v>Size Warning !!! Quality and consistent delivery but attention to size when ordering! For example the predicted size "BR 37-38 (39-40 EUR)" is actually a good EUR 37-38 !!! There is an error on the site because I think the same with another different pair Havainas controlled.</v>
      </c>
    </row>
    <row r="72">
      <c r="A72" s="1">
        <v>4.0</v>
      </c>
      <c r="B72" s="1" t="s">
        <v>73</v>
      </c>
      <c r="C72" t="str">
        <f>IFERROR(__xludf.DUMMYFUNCTION("GOOGLETRANSLATE(B72, ""fr"", ""en"")"),"PRODUCT COMPLIANCE product conforms to the description - I use in the studio on keyboards. no reliability problems. exact description unsurprisingly")</f>
        <v>PRODUCT COMPLIANCE product conforms to the description - I use in the studio on keyboards. no reliability problems. exact description unsurprisingly</v>
      </c>
    </row>
    <row r="73">
      <c r="A73" s="1">
        <v>5.0</v>
      </c>
      <c r="B73" s="1" t="s">
        <v>74</v>
      </c>
      <c r="C73" t="str">
        <f>IFERROR(__xludf.DUMMYFUNCTION("GOOGLETRANSLATE(B73, ""fr"", ""en"")"),"Great value for money is at the top !!! I had one before that did not work the right side and had a sound quality during calls rather poor. With this one sound is clear and good quality. One can increase the sound from the headset, change songs when liste"&amp;"ning to music clinch hang and so on. In the end my husband stung me I'll have to buy another for me")</f>
        <v>Great value for money is at the top !!! I had one before that did not work the right side and had a sound quality during calls rather poor. With this one sound is clear and good quality. One can increase the sound from the headset, change songs when listening to music clinch hang and so on. In the end my husband stung me I'll have to buy another for me</v>
      </c>
    </row>
    <row r="74">
      <c r="A74" s="1">
        <v>5.0</v>
      </c>
      <c r="B74" s="1" t="s">
        <v>75</v>
      </c>
      <c r="C74" t="str">
        <f>IFERROR(__xludf.DUMMYFUNCTION("GOOGLETRANSLATE(B74, ""fr"", ""en"")"),"Sock very comfortable and good size. Buy to go with my white vapormax, it really is the perfect top for comfortable low sneakers. And the big plus in the evening sock residue is not everywhere on the foot which to me is very important and shows that the s"&amp;"ock and quality. In short I recommend very good sock.")</f>
        <v>Sock very comfortable and good size. Buy to go with my white vapormax, it really is the perfect top for comfortable low sneakers. And the big plus in the evening sock residue is not everywhere on the foot which to me is very important and shows that the sock and quality. In short I recommend very good sock.</v>
      </c>
    </row>
    <row r="75">
      <c r="A75" s="1">
        <v>5.0</v>
      </c>
      <c r="B75" s="1" t="s">
        <v>76</v>
      </c>
      <c r="C75" t="str">
        <f>IFERROR(__xludf.DUMMYFUNCTION("GOOGLETRANSLATE(B75, ""fr"", ""en"")"),"Baby bottle teat has soft This bottle is designed in soft plastic so that when the baby puts in the mouth that does not bother the overlooked breast mom. the grip is also very simple, my baby's accepted immediately.")</f>
        <v>Baby bottle teat has soft This bottle is designed in soft plastic so that when the baby puts in the mouth that does not bother the overlooked breast mom. the grip is also very simple, my baby's accepted immediately.</v>
      </c>
    </row>
    <row r="76">
      <c r="A76" s="1">
        <v>5.0</v>
      </c>
      <c r="B76" s="1" t="s">
        <v>77</v>
      </c>
      <c r="C76" t="str">
        <f>IFERROR(__xludf.DUMMYFUNCTION("GOOGLETRANSLATE(B76, ""fr"", ""en"")"),"Pretty pretty")</f>
        <v>Pretty pretty</v>
      </c>
    </row>
    <row r="77">
      <c r="A77" s="1">
        <v>5.0</v>
      </c>
      <c r="B77" s="1" t="s">
        <v>78</v>
      </c>
      <c r="C77" t="str">
        <f>IFERROR(__xludf.DUMMYFUNCTION("GOOGLETRANSLATE(B77, ""fr"", ""en"")"),"firm and tonic massages There are five different types of massage, with or without air pressure (5 15 mins programs). The rolls pass under the arch and the air bags inflate around the foot. One can also choose to heat. Massages are rather firm and support"&amp;"ed shiatsu and reflexology kind. The camera takes a little space by cons but not too noisy.")</f>
        <v>firm and tonic massages There are five different types of massage, with or without air pressure (5 15 mins programs). The rolls pass under the arch and the air bags inflate around the foot. One can also choose to heat. Massages are rather firm and supported shiatsu and reflexology kind. The camera takes a little space by cons but not too noisy.</v>
      </c>
    </row>
    <row r="78">
      <c r="A78" s="1">
        <v>5.0</v>
      </c>
      <c r="B78" s="1" t="s">
        <v>79</v>
      </c>
      <c r="C78" t="str">
        <f>IFERROR(__xludf.DUMMYFUNCTION("GOOGLETRANSLATE(B78, ""fr"", ""en"")"),"Compact and functional I chose this model for use in ""alarm clock"" function connected to my GSM. The BT connection is almost instantaneous, the connection is complete (USB, AUX and micro SD card). The light function is really fun and easy to use 48 diff"&amp;"erent colors and 4 modes to choose which also allows use in small pilot light or lamp of extra atmosphere. Power is typically a micro USB cable which avoids yet another specific diet. Fast delivery and consistent")</f>
        <v>Compact and functional I chose this model for use in "alarm clock" function connected to my GSM. The BT connection is almost instantaneous, the connection is complete (USB, AUX and micro SD card). The light function is really fun and easy to use 48 different colors and 4 modes to choose which also allows use in small pilot light or lamp of extra atmosphere. Power is typically a micro USB cable which avoids yet another specific diet. Fast delivery and consistent</v>
      </c>
    </row>
    <row r="79">
      <c r="A79" s="1">
        <v>5.0</v>
      </c>
      <c r="B79" s="1" t="s">
        <v>80</v>
      </c>
      <c r="C79" t="str">
        <f>IFERROR(__xludf.DUMMYFUNCTION("GOOGLETRANSLATE(B79, ""fr"", ""en"")"),"I recommend Good quality")</f>
        <v>I recommend Good quality</v>
      </c>
    </row>
    <row r="80">
      <c r="A80" s="1">
        <v>5.0</v>
      </c>
      <c r="B80" s="1" t="s">
        <v>81</v>
      </c>
      <c r="C80" t="str">
        <f>IFERROR(__xludf.DUMMYFUNCTION("GOOGLETRANSLATE(B80, ""fr"", ""en"")"),"This helmet perfect for children works very well and is adjustable to fit all heads (even adults!)")</f>
        <v>This helmet perfect for children works very well and is adjustable to fit all heads (even adults!)</v>
      </c>
    </row>
    <row r="81">
      <c r="A81" s="1">
        <v>5.0</v>
      </c>
      <c r="B81" s="1" t="s">
        <v>82</v>
      </c>
      <c r="C81" t="str">
        <f>IFERROR(__xludf.DUMMYFUNCTION("GOOGLETRANSLATE(B81, ""fr"", ""en"")"),"healthy Kettle effective at significant design I find this perfect for those looking for a BPA product at an affordable price while being drawn well. Anyway, I am very satisfied.")</f>
        <v>healthy Kettle effective at significant design I find this perfect for those looking for a BPA product at an affordable price while being drawn well. Anyway, I am very satisfied.</v>
      </c>
    </row>
    <row r="82">
      <c r="A82" s="1">
        <v>5.0</v>
      </c>
      <c r="B82" s="1" t="s">
        <v>83</v>
      </c>
      <c r="C82" t="str">
        <f>IFERROR(__xludf.DUMMYFUNCTION("GOOGLETRANSLATE(B82, ""fr"", ""en"")"),"comfortable and original shoe law great product. comfortable. easy to put on. Keeps well in front. Also perfect for paddle.")</f>
        <v>comfortable and original shoe law great product. comfortable. easy to put on. Keeps well in front. Also perfect for paddle.</v>
      </c>
    </row>
    <row r="83">
      <c r="A83" s="1">
        <v>5.0</v>
      </c>
      <c r="B83" s="1" t="s">
        <v>84</v>
      </c>
      <c r="C83" t="str">
        <f>IFERROR(__xludf.DUMMYFUNCTION("GOOGLETRANSLATE(B83, ""fr"", ""en"")"),"Running shoes do not hoard foam ---- [] No more slipping on the stones of the river, it is not at the top of the fashion haha ​​but that quest, they are effective and reassuring to walk in areas who may be at risk for sores may. (Sharp rocks, waterfalls ."&amp;"..)")</f>
        <v>Running shoes do not hoard foam ---- [] No more slipping on the stones of the river, it is not at the top of the fashion haha ​​but that quest, they are effective and reassuring to walk in areas who may be at risk for sores may. (Sharp rocks, waterfalls ...)</v>
      </c>
    </row>
    <row r="84">
      <c r="A84" s="1">
        <v>5.0</v>
      </c>
      <c r="B84" s="1" t="s">
        <v>85</v>
      </c>
      <c r="C84" t="str">
        <f>IFERROR(__xludf.DUMMYFUNCTION("GOOGLETRANSLATE(B84, ""fr"", ""en"")"),"converse very nice shoes, perfect color, as in the photo. fits with many held the converse quality recommend prize promo, really interesting")</f>
        <v>converse very nice shoes, perfect color, as in the photo. fits with many held the converse quality recommend prize promo, really interesting</v>
      </c>
    </row>
    <row r="85">
      <c r="A85" s="1">
        <v>5.0</v>
      </c>
      <c r="B85" s="1" t="s">
        <v>86</v>
      </c>
      <c r="C85" t="str">
        <f>IFERROR(__xludf.DUMMYFUNCTION("GOOGLETRANSLATE(B85, ""fr"", ""en"")"),"Excellent bluetooth headphones I received these headphones for a test. I had never used this type of device previously. Delivery was fast, the headphones are goods packed in a box. There is a detailed leaflet and in French. The commissioning during the fi"&amp;"rst use as in the following, is very simple. Pairing with my Android smartphone is made in seconds. The storage box is well designed. It is solid and firm. It serves as a mobile charger for headphones. In use, these headphones are forgotten so they are li"&amp;"ghtweight and comfortable to the ear. The sound quality is very good and it is not necessary to push too much volume to benefit from a rich bass and midrange. Yet I do not have a ""premium"" smartphone. I listened to many styles of music (classical, moder"&amp;"n, jazz, rock, film, etc.) and songs (opera, variety, pop singers to severe acute or more powerful voice). Overall, the result is still very good, although the sound quality is inferior to that of my living room speakers. However, I find that these headph"&amp;"ones are better than I used to date (wired headset). For exercise, again, they are comfortable (I practice Nordic walking). They do not fear moisture. For use in telephony, or to browse the music library is very simple and well explained in the instructio"&amp;"ns. In the end, I was pleasantly surprised by the ease of use, quality of finishes and sound output. These headphones seem to be a good compromise between price, sound quality and ease of use in everyday life.")</f>
        <v>Excellent bluetooth headphones I received these headphones for a test. I had never used this type of device previously. Delivery was fast, the headphones are goods packed in a box. There is a detailed leaflet and in French. The commissioning during the first use as in the following, is very simple. Pairing with my Android smartphone is made in seconds. The storage box is well designed. It is solid and firm. It serves as a mobile charger for headphones. In use, these headphones are forgotten so they are lightweight and comfortable to the ear. The sound quality is very good and it is not necessary to push too much volume to benefit from a rich bass and midrange. Yet I do not have a "premium" smartphone. I listened to many styles of music (classical, modern, jazz, rock, film, etc.) and songs (opera, variety, pop singers to severe acute or more powerful voice). Overall, the result is still very good, although the sound quality is inferior to that of my living room speakers. However, I find that these headphones are better than I used to date (wired headset). For exercise, again, they are comfortable (I practice Nordic walking). They do not fear moisture. For use in telephony, or to browse the music library is very simple and well explained in the instructions. In the end, I was pleasantly surprised by the ease of use, quality of finishes and sound output. These headphones seem to be a good compromise between price, sound quality and ease of use in everyday life.</v>
      </c>
    </row>
    <row r="86">
      <c r="A86" s="1">
        <v>5.0</v>
      </c>
      <c r="B86" s="1" t="s">
        <v>87</v>
      </c>
      <c r="C86" t="str">
        <f>IFERROR(__xludf.DUMMYFUNCTION("GOOGLETRANSLATE(B86, ""fr"", ""en"")"),"Although good product I'm happy with my purchase and recommend carefree happy with my purchase what! !")</f>
        <v>Although good product I'm happy with my purchase and recommend carefree happy with my purchase what! !</v>
      </c>
    </row>
    <row r="87">
      <c r="A87" s="1">
        <v>5.0</v>
      </c>
      <c r="B87" s="1" t="s">
        <v>88</v>
      </c>
      <c r="C87" t="str">
        <f>IFERROR(__xludf.DUMMYFUNCTION("GOOGLETRANSLATE(B87, ""fr"", ""en"")"),"conforms to my requests. conforms to my requests.")</f>
        <v>conforms to my requests. conforms to my requests.</v>
      </c>
    </row>
    <row r="88">
      <c r="A88" s="1">
        <v>2.0</v>
      </c>
      <c r="B88" s="1" t="s">
        <v>89</v>
      </c>
      <c r="C88" t="str">
        <f>IFERROR(__xludf.DUMMYFUNCTION("GOOGLETRANSLATE(B88, ""fr"", ""en"")"),"Disappointed If you have the habit of mam bottles with valves anticolique I would not recommend this product. When baby is drinking nipple remains ""depressed."" Shame their deco is pretty cool.")</f>
        <v>Disappointed If you have the habit of mam bottles with valves anticolique I would not recommend this product. When baby is drinking nipple remains "depressed." Shame their deco is pretty cool.</v>
      </c>
    </row>
    <row r="89">
      <c r="A89" s="1">
        <v>1.0</v>
      </c>
      <c r="B89" s="1" t="s">
        <v>90</v>
      </c>
      <c r="C89" t="str">
        <f>IFERROR(__xludf.DUMMYFUNCTION("GOOGLETRANSLATE(B89, ""fr"", ""en"")"),"Genial I l love so much that I bought the double Very elegant end it is sufficient in itself The crystal light is superb recommend ..")</f>
        <v>Genial I l love so much that I bought the double Very elegant end it is sufficient in itself The crystal light is superb recommend ..</v>
      </c>
    </row>
    <row r="90">
      <c r="A90" s="1">
        <v>3.0</v>
      </c>
      <c r="B90" s="1" t="s">
        <v>91</v>
      </c>
      <c r="C90" t="str">
        <f>IFERROR(__xludf.DUMMYFUNCTION("GOOGLETRANSLATE(B90, ""fr"", ""en"")"),"My research on Amazon was ""without elastic socks."" These socks have. In fact, I was looking for socks without elastic (because end of the day, elastic ""strangle"" the ankle and it is unpleasant to see his leg ""distorted"" there.) Amazon has listed you"&amp;"r product in the category ""inelastic ""this is why I ordered but I am disappointed.")</f>
        <v>My research on Amazon was "without elastic socks." These socks have. In fact, I was looking for socks without elastic (because end of the day, elastic "strangle" the ankle and it is unpleasant to see his leg "distorted" there.) Amazon has listed your product in the category "inelastic "this is why I ordered but I am disappointed.</v>
      </c>
    </row>
    <row r="91">
      <c r="A91" s="1">
        <v>3.0</v>
      </c>
      <c r="B91" s="1" t="s">
        <v>92</v>
      </c>
      <c r="C91" t="str">
        <f>IFERROR(__xludf.DUMMYFUNCTION("GOOGLETRANSLATE(B91, ""fr"", ""en"")"),"LITTLE GRILL Montee temperature laborious operation Works well after an initial phase that i useful")</f>
        <v>LITTLE GRILL Montee temperature laborious operation Works well after an initial phase that i useful</v>
      </c>
    </row>
    <row r="92">
      <c r="A92" s="1">
        <v>4.0</v>
      </c>
      <c r="B92" s="1" t="s">
        <v>93</v>
      </c>
      <c r="C92" t="str">
        <f>IFERROR(__xludf.DUMMYFUNCTION("GOOGLETRANSLATE(B92, ""fr"", ""en"")"),"malgrés shoes from China beautiful finish. Delivery on time and comfortable shoes.")</f>
        <v>malgrés shoes from China beautiful finish. Delivery on time and comfortable shoes.</v>
      </c>
    </row>
    <row r="93">
      <c r="A93" s="1">
        <v>4.0</v>
      </c>
      <c r="B93" s="1" t="s">
        <v>94</v>
      </c>
      <c r="C93" t="str">
        <f>IFERROR(__xludf.DUMMYFUNCTION("GOOGLETRANSLATE(B93, ""fr"", ""en"")"),"Expenses I work in a gym, it is very fresh and pleasant though a little big but")</f>
        <v>Expenses I work in a gym, it is very fresh and pleasant though a little big but</v>
      </c>
    </row>
    <row r="94">
      <c r="A94" s="1">
        <v>4.0</v>
      </c>
      <c r="B94" s="1" t="s">
        <v>95</v>
      </c>
      <c r="C94" t="str">
        <f>IFERROR(__xludf.DUMMYFUNCTION("GOOGLETRANSLATE(B94, ""fr"", ""en"")"),"Very good diffuser Diffuser very simple to use. We can choose whether we want that the LEDs are on or off. We have 2 programs, 1h or 3h. Rather convenient! In terms of design, it is very pretty! By cons, it makes a little noise.")</f>
        <v>Very good diffuser Diffuser very simple to use. We can choose whether we want that the LEDs are on or off. We have 2 programs, 1h or 3h. Rather convenient! In terms of design, it is very pretty! By cons, it makes a little noise.</v>
      </c>
    </row>
    <row r="95">
      <c r="A95" s="1">
        <v>4.0</v>
      </c>
      <c r="B95" s="1" t="s">
        <v>96</v>
      </c>
      <c r="C95" t="str">
        <f>IFERROR(__xludf.DUMMYFUNCTION("GOOGLETRANSLATE(B95, ""fr"", ""en"")"),"Compliant Compliant Product, a little late for me ... I still recommend.")</f>
        <v>Compliant Compliant Product, a little late for me ... I still recommend.</v>
      </c>
    </row>
    <row r="96">
      <c r="A96" s="1">
        <v>5.0</v>
      </c>
      <c r="B96" s="1" t="s">
        <v>97</v>
      </c>
      <c r="C96" t="str">
        <f>IFERROR(__xludf.DUMMYFUNCTION("GOOGLETRANSLATE(B96, ""fr"", ""en"")"),"Good product Good value and pleasant fragrance")</f>
        <v>Good product Good value and pleasant fragrance</v>
      </c>
    </row>
    <row r="97">
      <c r="A97" s="1">
        <v>5.0</v>
      </c>
      <c r="B97" s="1" t="s">
        <v>98</v>
      </c>
      <c r="C97" t="str">
        <f>IFERROR(__xludf.DUMMYFUNCTION("GOOGLETRANSLATE(B97, ""fr"", ""en"")"),"Great book is great! Spiral more. It is also interesting for young and old")</f>
        <v>Great book is great! Spiral more. It is also interesting for young and old</v>
      </c>
    </row>
    <row r="98">
      <c r="A98" s="1">
        <v>5.0</v>
      </c>
      <c r="B98" s="1" t="s">
        <v>99</v>
      </c>
      <c r="C98" t="str">
        <f>IFERROR(__xludf.DUMMYFUNCTION("GOOGLETRANSLATE(B98, ""fr"", ""en"")"),"Although I like the model ... baya taken as garden shoes")</f>
        <v>Although I like the model ... baya taken as garden shoes</v>
      </c>
    </row>
    <row r="99">
      <c r="A99" s="1">
        <v>5.0</v>
      </c>
      <c r="B99" s="1" t="s">
        <v>100</v>
      </c>
      <c r="C99" t="str">
        <f>IFERROR(__xludf.DUMMYFUNCTION("GOOGLETRANSLATE(B99, ""fr"", ""en"")"),"practice headbands are especially practical to hide a plunging neckline too. The material is nice but they cut still large enough so provide one size smaller if you want them to squeeze hard.")</f>
        <v>practice headbands are especially practical to hide a plunging neckline too. The material is nice but they cut still large enough so provide one size smaller if you want them to squeeze hard.</v>
      </c>
    </row>
    <row r="100">
      <c r="A100" s="1">
        <v>5.0</v>
      </c>
      <c r="B100" s="1" t="s">
        <v>101</v>
      </c>
      <c r="C100" t="str">
        <f>IFERROR(__xludf.DUMMYFUNCTION("GOOGLETRANSLATE(B100, ""fr"", ""en"")"),"Excellent value for money. Professionalism. quality loops, and punched and real money. impeccable finishes and beautiful stones. It was well worth the money.")</f>
        <v>Excellent value for money. Professionalism. quality loops, and punched and real money. impeccable finishes and beautiful stones. It was well worth the money.</v>
      </c>
    </row>
    <row r="101">
      <c r="A101" s="1">
        <v>5.0</v>
      </c>
      <c r="B101" s="1" t="s">
        <v>102</v>
      </c>
      <c r="C101" t="str">
        <f>IFERROR(__xludf.DUMMYFUNCTION("GOOGLETRANSLATE(B101, ""fr"", ""en"")"),"Returning damage because it was too large foresaw a size smaller.")</f>
        <v>Returning damage because it was too large foresaw a size smaller.</v>
      </c>
    </row>
    <row r="102">
      <c r="A102" s="1">
        <v>5.0</v>
      </c>
      <c r="B102" s="1" t="s">
        <v>103</v>
      </c>
      <c r="C102" t="str">
        <f>IFERROR(__xludf.DUMMYFUNCTION("GOOGLETRANSLATE(B102, ""fr"", ""en"")"),"Intended use for baby It does not reacting nickel pleasant fragrance Good value Warning very damaged package I had a can who fled ...")</f>
        <v>Intended use for baby It does not reacting nickel pleasant fragrance Good value Warning very damaged package I had a can who fled ...</v>
      </c>
    </row>
    <row r="103">
      <c r="A103" s="1">
        <v>5.0</v>
      </c>
      <c r="B103" s="1" t="s">
        <v>104</v>
      </c>
      <c r="C103" t="str">
        <f>IFERROR(__xludf.DUMMYFUNCTION("GOOGLETRANSLATE(B103, ""fr"", ""en"")"),"Comfortable product received quickly. Very comfortable and seemingly solid. We will see the use.")</f>
        <v>Comfortable product received quickly. Very comfortable and seemingly solid. We will see the use.</v>
      </c>
    </row>
    <row r="104">
      <c r="A104" s="1">
        <v>5.0</v>
      </c>
      <c r="B104" s="1" t="s">
        <v>105</v>
      </c>
      <c r="C104" t="str">
        <f>IFERROR(__xludf.DUMMYFUNCTION("GOOGLETRANSLATE(B104, ""fr"", ""en"")"),"not disappointed at all, unlike exactly what I wanted, perfect !!!")</f>
        <v>not disappointed at all, unlike exactly what I wanted, perfect !!!</v>
      </c>
    </row>
    <row r="105">
      <c r="A105" s="1">
        <v>5.0</v>
      </c>
      <c r="B105" s="1" t="s">
        <v>106</v>
      </c>
      <c r="C105" t="str">
        <f>IFERROR(__xludf.DUMMYFUNCTION("GOOGLETRANSLATE(B105, ""fr"", ""en"")"),"Beautiful Beautiful effect. Light. included discrete brilliant. A offer and to offer!")</f>
        <v>Beautiful Beautiful effect. Light. included discrete brilliant. A offer and to offer!</v>
      </c>
    </row>
    <row r="106">
      <c r="A106" s="1">
        <v>5.0</v>
      </c>
      <c r="B106" s="1" t="s">
        <v>107</v>
      </c>
      <c r="C106" t="str">
        <f>IFERROR(__xludf.DUMMYFUNCTION("GOOGLETRANSLATE(B106, ""fr"", ""en"")"),"Very satisfied Being a familiar brand as Clairefontaine, I think this paper is very satisfying with a true white. top")</f>
        <v>Very satisfied Being a familiar brand as Clairefontaine, I think this paper is very satisfying with a true white. top</v>
      </c>
    </row>
    <row r="107">
      <c r="A107" s="1">
        <v>5.0</v>
      </c>
      <c r="B107" s="1" t="s">
        <v>108</v>
      </c>
      <c r="C107" t="str">
        <f>IFERROR(__xludf.DUMMYFUNCTION("GOOGLETRANSLATE(B107, ""fr"", ""en"")"),"Good product, I recommend Good cut, took size L, no complaints, mold well as the picture, I recommend the color is as the picture :)")</f>
        <v>Good product, I recommend Good cut, took size L, no complaints, mold well as the picture, I recommend the color is as the picture :)</v>
      </c>
    </row>
    <row r="108">
      <c r="A108" s="1">
        <v>5.0</v>
      </c>
      <c r="B108" s="1" t="s">
        <v>109</v>
      </c>
      <c r="C108" t="str">
        <f>IFERROR(__xludf.DUMMYFUNCTION("GOOGLETRANSLATE(B108, ""fr"", ""en"")"),"super paper armeni of the rose smells very good")</f>
        <v>super paper armeni of the rose smells very good</v>
      </c>
    </row>
    <row r="109">
      <c r="A109" s="1">
        <v>5.0</v>
      </c>
      <c r="B109" s="1" t="s">
        <v>110</v>
      </c>
      <c r="C109" t="str">
        <f>IFERROR(__xludf.DUMMYFUNCTION("GOOGLETRANSLATE(B109, ""fr"", ""en"")"),"Perfect Meets description and photo, niquel! Fast delivery, received colie 1 day before the date")</f>
        <v>Perfect Meets description and photo, niquel! Fast delivery, received colie 1 day before the date</v>
      </c>
    </row>
    <row r="110">
      <c r="A110" s="1">
        <v>5.0</v>
      </c>
      <c r="B110" s="1" t="s">
        <v>111</v>
      </c>
      <c r="C110" t="str">
        <f>IFERROR(__xludf.DUMMYFUNCTION("GOOGLETRANSLATE(B110, ""fr"", ""en"")"),"city ​​bag Very good product that exactly matches the description Not disappointed with this purchase I recommend it to other!")</f>
        <v>city ​​bag Very good product that exactly matches the description Not disappointed with this purchase I recommend it to other!</v>
      </c>
    </row>
    <row r="111">
      <c r="A111" s="1">
        <v>2.0</v>
      </c>
      <c r="B111" s="1" t="s">
        <v>112</v>
      </c>
      <c r="C111" t="str">
        <f>IFERROR(__xludf.DUMMYFUNCTION("GOOGLETRANSLATE(B111, ""fr"", ""en"")"),"Comfortable but too ""&amp; nbsp; soft &amp; nbsp;"" Very comfortable and light Helas after qq uses the lateral buttresses leave already gone Aunsi that the insole")</f>
        <v>Comfortable but too "&amp; nbsp; soft &amp; nbsp;" Very comfortable and light Helas after qq uses the lateral buttresses leave already gone Aunsi that the insole</v>
      </c>
    </row>
    <row r="112">
      <c r="A112" s="1">
        <v>1.0</v>
      </c>
      <c r="B112" s="1" t="s">
        <v>113</v>
      </c>
      <c r="C112" t="str">
        <f>IFERROR(__xludf.DUMMYFUNCTION("GOOGLETRANSLATE(B112, ""fr"", ""en"")"),"Part cook ridiculous. Buy this product and very disappointed. I do not use I made a direct reference. The piece of cooked faur 3cm 1.5cm hard. No wonder the color and more. The product and not be effective. I not try to understand I made a comeback.")</f>
        <v>Part cook ridiculous. Buy this product and very disappointed. I do not use I made a direct reference. The piece of cooked faur 3cm 1.5cm hard. No wonder the color and more. The product and not be effective. I not try to understand I made a comeback.</v>
      </c>
    </row>
    <row r="113">
      <c r="A113" s="1">
        <v>3.0</v>
      </c>
      <c r="B113" s="1" t="s">
        <v>114</v>
      </c>
      <c r="C113" t="str">
        <f>IFERROR(__xludf.DUMMYFUNCTION("GOOGLETRANSLATE(B113, ""fr"", ""en"")"),"Good Very good for baby bottles up to 150ml. But more or so for my small pots, it's not the top. My son does not eat if it's warm, it's either a little bit hotter. I have to be heated in the microwave ...")</f>
        <v>Good Very good for baby bottles up to 150ml. But more or so for my small pots, it's not the top. My son does not eat if it's warm, it's either a little bit hotter. I have to be heated in the microwave ...</v>
      </c>
    </row>
    <row r="114">
      <c r="A114" s="1">
        <v>3.0</v>
      </c>
      <c r="B114" s="1" t="s">
        <v>115</v>
      </c>
      <c r="C114" t="str">
        <f>IFERROR(__xludf.DUMMYFUNCTION("GOOGLETRANSLATE(B114, ""fr"", ""en"")"),"skeptical I put only 3 * as they correspond to the description, only I find no difference that I wash or not!")</f>
        <v>skeptical I put only 3 * as they correspond to the description, only I find no difference that I wash or not!</v>
      </c>
    </row>
    <row r="115">
      <c r="A115" s="1">
        <v>4.0</v>
      </c>
      <c r="B115" s="1" t="s">
        <v>116</v>
      </c>
      <c r="C115" t="str">
        <f>IFERROR(__xludf.DUMMYFUNCTION("GOOGLETRANSLATE(B115, ""fr"", ""en"")"),"high-end headphones After using it for almost 6 months, I confirm that by headphones is excellent. Sound quality, robustness, quality of material. The only downside, if you paired your headset with a very pro MixAmp Astros, you risk to have echo problems "&amp;"in the party on ps4 with your contacts.")</f>
        <v>high-end headphones After using it for almost 6 months, I confirm that by headphones is excellent. Sound quality, robustness, quality of material. The only downside, if you paired your headset with a very pro MixAmp Astros, you risk to have echo problems in the party on ps4 with your contacts.</v>
      </c>
    </row>
    <row r="116">
      <c r="A116" s="1">
        <v>4.0</v>
      </c>
      <c r="B116" s="1" t="s">
        <v>117</v>
      </c>
      <c r="C116" t="str">
        <f>IFERROR(__xludf.DUMMYFUNCTION("GOOGLETRANSLATE(B116, ""fr"", ""en"")"),"Although Good product. A bit narrow in width for wide feet!")</f>
        <v>Although Good product. A bit narrow in width for wide feet!</v>
      </c>
    </row>
    <row r="117">
      <c r="A117" s="1">
        <v>4.0</v>
      </c>
      <c r="B117" s="1" t="s">
        <v>118</v>
      </c>
      <c r="C117" t="str">
        <f>IFERROR(__xludf.DUMMYFUNCTION("GOOGLETRANSLATE(B117, ""fr"", ""en"")"),"Too bad the quality is quite good but the size is not good .. Slightly too big .. Too bad!")</f>
        <v>Too bad the quality is quite good but the size is not good .. Slightly too big .. Too bad!</v>
      </c>
    </row>
    <row r="118">
      <c r="A118" s="1">
        <v>4.0</v>
      </c>
      <c r="B118" s="1" t="s">
        <v>119</v>
      </c>
      <c r="C118" t="str">
        <f>IFERROR(__xludf.DUMMYFUNCTION("GOOGLETRANSLATE(B118, ""fr"", ""en"")"),"Comfortable warm slippers and hot, they are useful winter months. I find that the shape is a little too strong Egyptian foot, but it's not serious.")</f>
        <v>Comfortable warm slippers and hot, they are useful winter months. I find that the shape is a little too strong Egyptian foot, but it's not serious.</v>
      </c>
    </row>
    <row r="119">
      <c r="A119" s="1">
        <v>5.0</v>
      </c>
      <c r="B119" s="1" t="s">
        <v>120</v>
      </c>
      <c r="C119" t="str">
        <f>IFERROR(__xludf.DUMMYFUNCTION("GOOGLETRANSLATE(B119, ""fr"", ""en"")"),"A great gift idea Moonstone lucky and full of reflections, earrings and a simple style that does not hurt.")</f>
        <v>A great gift idea Moonstone lucky and full of reflections, earrings and a simple style that does not hurt.</v>
      </c>
    </row>
    <row r="120">
      <c r="A120" s="1">
        <v>5.0</v>
      </c>
      <c r="B120" s="1" t="s">
        <v>121</v>
      </c>
      <c r="C120" t="str">
        <f>IFERROR(__xludf.DUMMYFUNCTION("GOOGLETRANSLATE(B120, ""fr"", ""en"")"),"Superb! This pendant is very pretty. The pearl is bright white and is carefully set with money. I am particularly satisfied with its size: it's not a tiny gem. The quality is there, it is obvious.")</f>
        <v>Superb! This pendant is very pretty. The pearl is bright white and is carefully set with money. I am particularly satisfied with its size: it's not a tiny gem. The quality is there, it is obvious.</v>
      </c>
    </row>
    <row r="121">
      <c r="A121" s="1">
        <v>5.0</v>
      </c>
      <c r="B121" s="1" t="s">
        <v>122</v>
      </c>
      <c r="C121" t="str">
        <f>IFERROR(__xludf.DUMMYFUNCTION("GOOGLETRANSLATE(B121, ""fr"", ""en"")"),"Product that does the job! Perfect for storing my new card, it's the job and the price is right. Plastic is good so you will not take no risk in buying this product.")</f>
        <v>Product that does the job! Perfect for storing my new card, it's the job and the price is right. Plastic is good so you will not take no risk in buying this product.</v>
      </c>
    </row>
    <row r="122">
      <c r="A122" s="1">
        <v>5.0</v>
      </c>
      <c r="B122" s="1" t="s">
        <v>123</v>
      </c>
      <c r="C122" t="str">
        <f>IFERROR(__xludf.DUMMYFUNCTION("GOOGLETRANSLATE(B122, ""fr"", ""en"")"),"ras very functional large gauge but that's what I was looking for")</f>
        <v>ras very functional large gauge but that's what I was looking for</v>
      </c>
    </row>
    <row r="123">
      <c r="A123" s="1">
        <v>5.0</v>
      </c>
      <c r="B123" s="1" t="s">
        <v>124</v>
      </c>
      <c r="C123" t="str">
        <f>IFERROR(__xludf.DUMMYFUNCTION("GOOGLETRANSLATE(B123, ""fr"", ""en"")"),"Really nice They look great my girls ass is already tight n awesome. This helps a lot too! Do not like that you can see through them a little bit and I really do not want it there too lol so jealous! There, she likes them because they also aspire guts.")</f>
        <v>Really nice They look great my girls ass is already tight n awesome. This helps a lot too! Do not like that you can see through them a little bit and I really do not want it there too lol so jealous! There, she likes them because they also aspire guts.</v>
      </c>
    </row>
    <row r="124">
      <c r="A124" s="1">
        <v>5.0</v>
      </c>
      <c r="B124" s="1" t="s">
        <v>125</v>
      </c>
      <c r="C124" t="str">
        <f>IFERROR(__xludf.DUMMYFUNCTION("GOOGLETRANSLATE(B124, ""fr"", ""en"")"),"All good ! Kit ideal for first baby bottles 4 bottles in 2 sizes with nipples, bottle brush, and lollipop. Perfect for a gift. I used this brand for all my children and I am fully satisfied. The large bottles are easy to clean and are dishwasher-safe. The"&amp;"ir shape is comfortable to handle and they age very well in time. All good !")</f>
        <v>All good ! Kit ideal for first baby bottles 4 bottles in 2 sizes with nipples, bottle brush, and lollipop. Perfect for a gift. I used this brand for all my children and I am fully satisfied. The large bottles are easy to clean and are dishwasher-safe. Their shape is comfortable to handle and they age very well in time. All good !</v>
      </c>
    </row>
    <row r="125">
      <c r="A125" s="1">
        <v>5.0</v>
      </c>
      <c r="B125" s="1" t="s">
        <v>126</v>
      </c>
      <c r="C125" t="str">
        <f>IFERROR(__xludf.DUMMYFUNCTION("GOOGLETRANSLATE(B125, ""fr"", ""en"")"),"Super lightweight Very nice and good size I recommend without hesitation")</f>
        <v>Super lightweight Very nice and good size I recommend without hesitation</v>
      </c>
    </row>
    <row r="126">
      <c r="A126" s="1">
        <v>5.0</v>
      </c>
      <c r="B126" s="1" t="s">
        <v>127</v>
      </c>
      <c r="C126" t="str">
        <f>IFERROR(__xludf.DUMMYFUNCTION("GOOGLETRANSLATE(B126, ""fr"", ""en"")"),"Essential for breastfed babies! 3 month old baby was found in his taste for more ... Great anticolique thought the system and the nipple which mimics the nipple.")</f>
        <v>Essential for breastfed babies! 3 month old baby was found in his taste for more ... Great anticolique thought the system and the nipple which mimics the nipple.</v>
      </c>
    </row>
    <row r="127">
      <c r="A127" s="1">
        <v>5.0</v>
      </c>
      <c r="B127" s="1" t="s">
        <v>128</v>
      </c>
      <c r="C127" t="str">
        <f>IFERROR(__xludf.DUMMYFUNCTION("GOOGLETRANSLATE(B127, ""fr"", ""en"")"),"I recommend this product Very good product easy to use, nice to be able to see things that we had not seen. Very fast delivery and the goods conform to the description and in perfect operation")</f>
        <v>I recommend this product Very good product easy to use, nice to be able to see things that we had not seen. Very fast delivery and the goods conform to the description and in perfect operation</v>
      </c>
    </row>
    <row r="128">
      <c r="A128" s="1">
        <v>5.0</v>
      </c>
      <c r="B128" s="1" t="s">
        <v>129</v>
      </c>
      <c r="C128" t="str">
        <f>IFERROR(__xludf.DUMMYFUNCTION("GOOGLETRANSLATE(B128, ""fr"", ""en"")"),"adjusting the light intensity reading light, great!")</f>
        <v>adjusting the light intensity reading light, great!</v>
      </c>
    </row>
    <row r="129">
      <c r="A129" s="1">
        <v>5.0</v>
      </c>
      <c r="B129" s="1" t="s">
        <v>130</v>
      </c>
      <c r="C129" t="str">
        <f>IFERROR(__xludf.DUMMYFUNCTION("GOOGLETRANSLATE(B129, ""fr"", ""en"")"),"Well Good Show product for my child PS: attention is a wrist for children, not for adults ...!")</f>
        <v>Well Good Show product for my child PS: attention is a wrist for children, not for adults ...!</v>
      </c>
    </row>
    <row r="130">
      <c r="A130" s="1">
        <v>5.0</v>
      </c>
      <c r="B130" s="1" t="s">
        <v>131</v>
      </c>
      <c r="C130" t="str">
        <f>IFERROR(__xludf.DUMMYFUNCTION("GOOGLETRANSLATE(B130, ""fr"", ""en"")"),"Good price / quality ratio Good product. Practical, fits perfectly in my bag")</f>
        <v>Good price / quality ratio Good product. Practical, fits perfectly in my bag</v>
      </c>
    </row>
    <row r="131">
      <c r="A131" s="1">
        <v>5.0</v>
      </c>
      <c r="B131" s="1" t="s">
        <v>132</v>
      </c>
      <c r="C131" t="str">
        <f>IFERROR(__xludf.DUMMYFUNCTION("GOOGLETRANSLATE(B131, ""fr"", ""en"")"),"Beautiful and comfortable sneakers look very nice and very comfortable side. Take a size more as shown and they go perfectly!")</f>
        <v>Beautiful and comfortable sneakers look very nice and very comfortable side. Take a size more as shown and they go perfectly!</v>
      </c>
    </row>
    <row r="132">
      <c r="A132" s="1">
        <v>5.0</v>
      </c>
      <c r="B132" s="1" t="s">
        <v>133</v>
      </c>
      <c r="C132" t="str">
        <f>IFERROR(__xludf.DUMMYFUNCTION("GOOGLETRANSLATE(B132, ""fr"", ""en"")"),"Very good quality for the price I love this hoody. J'le not feel, but when I take it off, it makes a good chill. ^^ The sleeves are too long for me (under 1m60), but it is not disturbing for the home. I think it is appropriate for the size if you take the"&amp;" right size. Personally, I took too much, but of my own accord. Overall, very pleased with my purchase.")</f>
        <v>Very good quality for the price I love this hoody. J'le not feel, but when I take it off, it makes a good chill. ^^ The sleeves are too long for me (under 1m60), but it is not disturbing for the home. I think it is appropriate for the size if you take the right size. Personally, I took too much, but of my own accord. Overall, very pleased with my purchase.</v>
      </c>
    </row>
    <row r="133">
      <c r="A133" s="1">
        <v>5.0</v>
      </c>
      <c r="B133" s="1" t="s">
        <v>134</v>
      </c>
      <c r="C133" t="str">
        <f>IFERROR(__xludf.DUMMYFUNCTION("GOOGLETRANSLATE(B133, ""fr"", ""en"")"),"PERFECT Good headphones but I can not use my cell phone on my TV just honor crackling .. this is it normal ?? A Lack of explanations based and helmet if I put 5 * More crackling everywhere I simply dropped the sound based on where the TV and mounted on hi"&amp;"s helmet impeccable !!! In addition I have it connected with my cell phone and answer a call impromptu .. Thanks it deserves 5🌟")</f>
        <v>PERFECT Good headphones but I can not use my cell phone on my TV just honor crackling .. this is it normal ?? A Lack of explanations based and helmet if I put 5 * More crackling everywhere I simply dropped the sound based on where the TV and mounted on his helmet impeccable !!! In addition I have it connected with my cell phone and answer a call impromptu .. Thanks it deserves 5🌟</v>
      </c>
    </row>
    <row r="134">
      <c r="A134" s="1">
        <v>2.0</v>
      </c>
      <c r="B134" s="1" t="s">
        <v>135</v>
      </c>
      <c r="C134" t="str">
        <f>IFERROR(__xludf.DUMMYFUNCTION("GOOGLETRANSLATE(B134, ""fr"", ""en"")"),"I do not recommend I'm sorry I'm disappointed with my purchase I find the headphones have no class is big in your ears no discretion I chose it because it is sony sound is poor me that follows a follower of his good I contact a helmet 10 € at a better qua"&amp;"lity. I wonder is it that this is really a Sony headset is made to see your inquiry Amaron")</f>
        <v>I do not recommend I'm sorry I'm disappointed with my purchase I find the headphones have no class is big in your ears no discretion I chose it because it is sony sound is poor me that follows a follower of his good I contact a helmet 10 € at a better quality. I wonder is it that this is really a Sony headset is made to see your inquiry Amaron</v>
      </c>
    </row>
    <row r="135">
      <c r="A135" s="1">
        <v>1.0</v>
      </c>
      <c r="B135" s="1" t="s">
        <v>136</v>
      </c>
      <c r="C135" t="str">
        <f>IFERROR(__xludf.DUMMYFUNCTION("GOOGLETRANSLATE(B135, ""fr"", ""en"")"),"Crap Do not walk more than a dozen times. After dismantling the mechanism, all plastic, no longer holds. A beautiful bouze in summary. The first was replaced. The second part in the trash.")</f>
        <v>Crap Do not walk more than a dozen times. After dismantling the mechanism, all plastic, no longer holds. A beautiful bouze in summary. The first was replaced. The second part in the trash.</v>
      </c>
    </row>
    <row r="136">
      <c r="A136" s="1">
        <v>1.0</v>
      </c>
      <c r="B136" s="1" t="s">
        <v>137</v>
      </c>
      <c r="C136" t="str">
        <f>IFERROR(__xludf.DUMMYFUNCTION("GOOGLETRANSLATE(B136, ""fr"", ""en"")"),"Wanderlust scratch off map No explanation for how to scratch. Very difficult to scratch with a coin, the paper tears, we must scratch like crazy. Overpriced, very bad product. Not recommended.")</f>
        <v>Wanderlust scratch off map No explanation for how to scratch. Very difficult to scratch with a coin, the paper tears, we must scratch like crazy. Overpriced, very bad product. Not recommended.</v>
      </c>
    </row>
    <row r="137">
      <c r="A137" s="1">
        <v>3.0</v>
      </c>
      <c r="B137" s="1" t="s">
        <v>138</v>
      </c>
      <c r="C137" t="str">
        <f>IFERROR(__xludf.DUMMYFUNCTION("GOOGLETRANSLATE(B137, ""fr"", ""en"")"),"Not suitable This pacifier was not suitable for our son who has always only drinks with a pacifier birth of this same brand. This may be due to breastfeeding and not the quality of the nipple. Indeed, the pacifier has too much speed for him and ""choking"&amp;""" ...")</f>
        <v>Not suitable This pacifier was not suitable for our son who has always only drinks with a pacifier birth of this same brand. This may be due to breastfeeding and not the quality of the nipple. Indeed, the pacifier has too much speed for him and "choking" ...</v>
      </c>
    </row>
    <row r="138">
      <c r="A138" s="1">
        <v>4.0</v>
      </c>
      <c r="B138" s="1" t="s">
        <v>139</v>
      </c>
      <c r="C138" t="str">
        <f>IFERROR(__xludf.DUMMYFUNCTION("GOOGLETRANSLATE(B138, ""fr"", ""en"")"),"Very Good Very nice 3 weeks ago no say door daily 8 to 10 hours light and comfortable")</f>
        <v>Very Good Very nice 3 weeks ago no say door daily 8 to 10 hours light and comfortable</v>
      </c>
    </row>
    <row r="139">
      <c r="A139" s="1">
        <v>4.0</v>
      </c>
      <c r="B139" s="1" t="s">
        <v>140</v>
      </c>
      <c r="C139" t="str">
        <f>IFERROR(__xludf.DUMMYFUNCTION("GOOGLETRANSLATE(B139, ""fr"", ""en"")"),"puma socks lovely socks that go to mid comfortable ankles. cotton in time does not wear s fast enough. for the price and I think the lot in back")</f>
        <v>puma socks lovely socks that go to mid comfortable ankles. cotton in time does not wear s fast enough. for the price and I think the lot in back</v>
      </c>
    </row>
    <row r="140">
      <c r="A140" s="1">
        <v>4.0</v>
      </c>
      <c r="B140" s="1" t="s">
        <v>141</v>
      </c>
      <c r="C140" t="str">
        <f>IFERROR(__xludf.DUMMYFUNCTION("GOOGLETRANSLATE(B140, ""fr"", ""en"")"),"well but then I think we should immediately talk about the limits of this bib heater! as any material limitations are sometimes intimidating, but here it is: it is long (about 10 minutes) for a warm milk is a shot (no 2nd heater can then pay attention lon"&amp;"g drive must ""recharge"" by boiling then!. ..) is not always the right size bib (I have several sizes and some are too large!) if everything is as it is very convenient when you leave a few hours!")</f>
        <v>well but then I think we should immediately talk about the limits of this bib heater! as any material limitations are sometimes intimidating, but here it is: it is long (about 10 minutes) for a warm milk is a shot (no 2nd heater can then pay attention long drive must "recharge" by boiling then!. ..) is not always the right size bib (I have several sizes and some are too large!) if everything is as it is very convenient when you leave a few hours!</v>
      </c>
    </row>
    <row r="141">
      <c r="A141" s="1">
        <v>4.0</v>
      </c>
      <c r="B141" s="1" t="s">
        <v>142</v>
      </c>
      <c r="C141" t="str">
        <f>IFERROR(__xludf.DUMMYFUNCTION("GOOGLETRANSLATE(B141, ""fr"", ""en"")"),"flexible and resistant design and great fun Very nice and resistant to skate, I recommend")</f>
        <v>flexible and resistant design and great fun Very nice and resistant to skate, I recommend</v>
      </c>
    </row>
    <row r="142">
      <c r="A142" s="1">
        <v>5.0</v>
      </c>
      <c r="B142" s="1" t="s">
        <v>143</v>
      </c>
      <c r="C142" t="str">
        <f>IFERROR(__xludf.DUMMYFUNCTION("GOOGLETRANSLATE(B142, ""fr"", ""en"")"),"good quality well cut trousers man, pretty colors and very good husband qualité.mon is delighted.")</f>
        <v>good quality well cut trousers man, pretty colors and very good husband qualité.mon is delighted.</v>
      </c>
    </row>
    <row r="143">
      <c r="A143" s="1">
        <v>5.0</v>
      </c>
      <c r="B143" s="1" t="s">
        <v>144</v>
      </c>
      <c r="C143" t="str">
        <f>IFERROR(__xludf.DUMMYFUNCTION("GOOGLETRANSLATE(B143, ""fr"", ""en"")"),"Very nice article sweatshirt well-cut, sober and elegant. Very comfortable, soft, warm but not stifling, it is an article which I highly recommend.")</f>
        <v>Very nice article sweatshirt well-cut, sober and elegant. Very comfortable, soft, warm but not stifling, it is an article which I highly recommend.</v>
      </c>
    </row>
    <row r="144">
      <c r="A144" s="1">
        <v>5.0</v>
      </c>
      <c r="B144" s="1" t="s">
        <v>145</v>
      </c>
      <c r="C144" t="str">
        <f>IFERROR(__xludf.DUMMYFUNCTION("GOOGLETRANSLATE(B144, ""fr"", ""en"")"),"ca glue well ras")</f>
        <v>ca glue well ras</v>
      </c>
    </row>
    <row r="145">
      <c r="A145" s="1">
        <v>5.0</v>
      </c>
      <c r="B145" s="1" t="s">
        <v>146</v>
      </c>
      <c r="C145" t="str">
        <f>IFERROR(__xludf.DUMMYFUNCTION("GOOGLETRANSLATE(B145, ""fr"", ""en"")"),"Stickers heart, round and smileys Comet super there are little large, it is very easy to take off my kids adored Have smilies. Products compliant and very satisfying.")</f>
        <v>Stickers heart, round and smileys Comet super there are little large, it is very easy to take off my kids adored Have smilies. Products compliant and very satisfying.</v>
      </c>
    </row>
    <row r="146">
      <c r="A146" s="1">
        <v>5.0</v>
      </c>
      <c r="B146" s="1" t="s">
        <v>147</v>
      </c>
      <c r="C146" t="str">
        <f>IFERROR(__xludf.DUMMYFUNCTION("GOOGLETRANSLATE(B146, ""fr"", ""en"")"),"really good. Size small. I am very happy of these booties, soft and pleasant. I size 39/40, I took 41, but the 42 could go, since I like adding a sole. Sole not essential, either. So, it's OK. Thank you.")</f>
        <v>really good. Size small. I am very happy of these booties, soft and pleasant. I size 39/40, I took 41, but the 42 could go, since I like adding a sole. Sole not essential, either. So, it's OK. Thank you.</v>
      </c>
    </row>
    <row r="147">
      <c r="A147" s="1">
        <v>5.0</v>
      </c>
      <c r="B147" s="1" t="s">
        <v>148</v>
      </c>
      <c r="C147" t="str">
        <f>IFERROR(__xludf.DUMMYFUNCTION("GOOGLETRANSLATE(B147, ""fr"", ""en"")"),"Sockette good Sockette")</f>
        <v>Sockette good Sockette</v>
      </c>
    </row>
    <row r="148">
      <c r="A148" s="1">
        <v>5.0</v>
      </c>
      <c r="B148" s="1" t="s">
        <v>149</v>
      </c>
      <c r="C148" t="str">
        <f>IFERROR(__xludf.DUMMYFUNCTION("GOOGLETRANSLATE(B148, ""fr"", ""en"")"),"Although Will test at birth")</f>
        <v>Although Will test at birth</v>
      </c>
    </row>
    <row r="149">
      <c r="A149" s="1">
        <v>5.0</v>
      </c>
      <c r="B149" s="1" t="s">
        <v>150</v>
      </c>
      <c r="C149" t="str">
        <f>IFERROR(__xludf.DUMMYFUNCTION("GOOGLETRANSLATE(B149, ""fr"", ""en"")"),"Very good product supert Although my works great")</f>
        <v>Very good product supert Although my works great</v>
      </c>
    </row>
    <row r="150">
      <c r="A150" s="1">
        <v>5.0</v>
      </c>
      <c r="B150" s="1" t="s">
        <v>151</v>
      </c>
      <c r="C150" t="str">
        <f>IFERROR(__xludf.DUMMYFUNCTION("GOOGLETRANSLATE(B150, ""fr"", ""en"")"),"Jewelry Very nice parure.conforme to the photo.")</f>
        <v>Jewelry Very nice parure.conforme to the photo.</v>
      </c>
    </row>
    <row r="151">
      <c r="A151" s="1">
        <v>5.0</v>
      </c>
      <c r="B151" s="1" t="s">
        <v>152</v>
      </c>
      <c r="C151" t="str">
        <f>IFERROR(__xludf.DUMMYFUNCTION("GOOGLETRANSLATE(B151, ""fr"", ""en"")"),"Super Super Fast I am delighted")</f>
        <v>Super Super Fast I am delighted</v>
      </c>
    </row>
    <row r="152">
      <c r="A152" s="1">
        <v>5.0</v>
      </c>
      <c r="B152" s="1" t="s">
        <v>153</v>
      </c>
      <c r="C152" t="str">
        <f>IFERROR(__xludf.DUMMYFUNCTION("GOOGLETRANSLATE(B152, ""fr"", ""en"")"),"nickel works !! I bought this blue tooth kit for my old car. it works perfectly: we hear very well our interlocutors that we also hear very well. the battery takes several days without recharging and discreet kit can be hidden behind the sun visor. I gave"&amp;" mine to my niece changing car, and I have bought one for my sister. Very good value for money")</f>
        <v>nickel works !! I bought this blue tooth kit for my old car. it works perfectly: we hear very well our interlocutors that we also hear very well. the battery takes several days without recharging and discreet kit can be hidden behind the sun visor. I gave mine to my niece changing car, and I have bought one for my sister. Very good value for money</v>
      </c>
    </row>
    <row r="153">
      <c r="A153" s="1">
        <v>5.0</v>
      </c>
      <c r="B153" s="1" t="s">
        <v>154</v>
      </c>
      <c r="C153" t="str">
        <f>IFERROR(__xludf.DUMMYFUNCTION("GOOGLETRANSLATE(B153, ""fr"", ""en"")"),"Nothing to do with phone headset. The headphones come in beautiful packaging and a handy pocket for storing. They are rechargeable using the provided USB cable and several size found there to rubber feet to suit our ear following its morphology. The headp"&amp;"hones rather tight fit, I've tested yesterday during my jogging for 1 hour. The document is in English but unfortunately getting started is easy, simply press the round button three seconds to start bluetooth sync. There are also 2 other button that can c"&amp;"hange the volume and change audio tracks, it works even with Deezer, it's perfect. In terms of sound, I am amazed !!!. The bass are present and relief sonor well balanced. The volume and also very powerful. At independence I can not say anything because I"&amp;" have not tested long enough. They also Handsfree but I have not tested nonplus. I recommend these headphones have a quality / price at the top.")</f>
        <v>Nothing to do with phone headset. The headphones come in beautiful packaging and a handy pocket for storing. They are rechargeable using the provided USB cable and several size found there to rubber feet to suit our ear following its morphology. The headphones rather tight fit, I've tested yesterday during my jogging for 1 hour. The document is in English but unfortunately getting started is easy, simply press the round button three seconds to start bluetooth sync. There are also 2 other button that can change the volume and change audio tracks, it works even with Deezer, it's perfect. In terms of sound, I am amazed !!!. The bass are present and relief sonor well balanced. The volume and also very powerful. At independence I can not say anything because I have not tested long enough. They also Handsfree but I have not tested nonplus. I recommend these headphones have a quality / price at the top.</v>
      </c>
    </row>
    <row r="154">
      <c r="A154" s="1">
        <v>5.0</v>
      </c>
      <c r="B154" s="1" t="s">
        <v>155</v>
      </c>
      <c r="C154" t="str">
        <f>IFERROR(__xludf.DUMMYFUNCTION("GOOGLETRANSLATE(B154, ""fr"", ""en"")"),"Perfect for coffee plunger Bialetti Bought it a few months ago now, replacing the filter of my coffee press Bialetti (coffee maker 3 cups) which had ripped, I'm very satisfied. It is even much better than the original Bialetti filter!")</f>
        <v>Perfect for coffee plunger Bialetti Bought it a few months ago now, replacing the filter of my coffee press Bialetti (coffee maker 3 cups) which had ripped, I'm very satisfied. It is even much better than the original Bialetti filter!</v>
      </c>
    </row>
    <row r="155">
      <c r="A155" s="1">
        <v>5.0</v>
      </c>
      <c r="B155" s="1" t="s">
        <v>156</v>
      </c>
      <c r="C155" t="str">
        <f>IFERROR(__xludf.DUMMYFUNCTION("GOOGLETRANSLATE(B155, ""fr"", ""en"")"),"Magnificent Do not shine as much in true but the collar remains still wonderful")</f>
        <v>Magnificent Do not shine as much in true but the collar remains still wonderful</v>
      </c>
    </row>
    <row r="156">
      <c r="A156" s="1">
        <v>5.0</v>
      </c>
      <c r="B156" s="1" t="s">
        <v>157</v>
      </c>
      <c r="C156" t="str">
        <f>IFERROR(__xludf.DUMMYFUNCTION("GOOGLETRANSLATE(B156, ""fr"", ""en"")"),"shapely gorgeous bag and realized I had acquired by mistake the smaller model, but I keep it as beautiful and has utility, and then saw that the size above existed. . as I found the photo very nice coffee color and strong satisfaction on cuila I resisted."&amp;" . 3 weeks to crack. So strangely they are presented as identical at the same price it myself (also very well positioned for this bag here, not the other two) actually commonalities in addition to the previously mentioned, are of course the capacity and d"&amp;"rawing. For the rest strictly, but strictly not comparable, here beautiful leather, soft touch robust as the smallest model, except for a zip I retimed, and that seems to hold blameless finish, perceived quality and auscultated upon receipt, even more per"&amp;"fect than the small model I believe 47 euros I believe, that I am very happy to have finally kept because the leather, although beautiful both are of a slightly different tone, so no duplicate. and just as little is beautiful sunny day, beautiful quality "&amp;"leather scent. No addition to be made to images well illustrated, according to the product, I still think we are winning to 6 euros more because it is much more roomy than the small but if you're really minimalist. A big ladle, I have not watched the devi"&amp;"ces for a long time, but in the small porteuille, key papers (ds pocket phone..) More easily two Galaxy Note 4. In this one, (the great) still no galaxy Note in the top pocket. ..) down or iPad or Galaxy Note 10, subject because not tried but return the e"&amp;"quivalent Galaxy Note 8 mini and iPad 4, even all I think, depending on the hull. Attention, zippers, it's tough. ., They show the teeth. .. Here. I will comment not because the other two colors because regarded as equivalent models in reality I returned "&amp;"in 30 min coffee, without regret, as STRICTLY NOTHING TO DO qualitatively. Leather disgusting, slimy, smelly diesel, nothing to touch, turn red, and the cake I brought a finger around the eyes. . Bath look. No comment. Well after the tastes and colors. So"&amp;"me will love it very soft, his sweaty hand side or oily hair, subway grime. I stop. After all I had 2x can be lucky and 1xpas. ..moais")</f>
        <v>shapely gorgeous bag and realized I had acquired by mistake the smaller model, but I keep it as beautiful and has utility, and then saw that the size above existed. . as I found the photo very nice coffee color and strong satisfaction on cuila I resisted. . 3 weeks to crack. So strangely they are presented as identical at the same price it myself (also very well positioned for this bag here, not the other two) actually commonalities in addition to the previously mentioned, are of course the capacity and drawing. For the rest strictly, but strictly not comparable, here beautiful leather, soft touch robust as the smallest model, except for a zip I retimed, and that seems to hold blameless finish, perceived quality and auscultated upon receipt, even more perfect than the small model I believe 47 euros I believe, that I am very happy to have finally kept because the leather, although beautiful both are of a slightly different tone, so no duplicate. and just as little is beautiful sunny day, beautiful quality leather scent. No addition to be made to images well illustrated, according to the product, I still think we are winning to 6 euros more because it is much more roomy than the small but if you're really minimalist. A big ladle, I have not watched the devices for a long time, but in the small porteuille, key papers (ds pocket phone..) More easily two Galaxy Note 4. In this one, (the great) still no galaxy Note in the top pocket. ..) down or iPad or Galaxy Note 10, subject because not tried but return the equivalent Galaxy Note 8 mini and iPad 4, even all I think, depending on the hull. Attention, zippers, it's tough. ., They show the teeth. .. Here. I will comment not because the other two colors because regarded as equivalent models in reality I returned in 30 min coffee, without regret, as STRICTLY NOTHING TO DO qualitatively. Leather disgusting, slimy, smelly diesel, nothing to touch, turn red, and the cake I brought a finger around the eyes. . Bath look. No comment. Well after the tastes and colors. Some will love it very soft, his sweaty hand side or oily hair, subway grime. I stop. After all I had 2x can be lucky and 1xpas. ..moais</v>
      </c>
    </row>
    <row r="157">
      <c r="A157" s="1">
        <v>2.0</v>
      </c>
      <c r="B157" s="1" t="s">
        <v>158</v>
      </c>
      <c r="C157" t="str">
        <f>IFERROR(__xludf.DUMMYFUNCTION("GOOGLETRANSLATE(B157, ""fr"", ""en"")"),"Chausse Chausse little small take half a size or more")</f>
        <v>Chausse Chausse little small take half a size or more</v>
      </c>
    </row>
    <row r="158">
      <c r="A158" s="1">
        <v>1.0</v>
      </c>
      <c r="B158" s="1" t="s">
        <v>159</v>
      </c>
      <c r="C158" t="str">
        <f>IFERROR(__xludf.DUMMYFUNCTION("GOOGLETRANSLATE(B158, ""fr"", ""en"")"),"Nice and quiet but not solid After 1 use .. The kettle HS ... Chopped glass at the handle Return to sender")</f>
        <v>Nice and quiet but not solid After 1 use .. The kettle HS ... Chopped glass at the handle Return to sender</v>
      </c>
    </row>
    <row r="159">
      <c r="A159" s="1">
        <v>3.0</v>
      </c>
      <c r="B159" s="1" t="s">
        <v>160</v>
      </c>
      <c r="C159" t="str">
        <f>IFERROR(__xludf.DUMMYFUNCTION("GOOGLETRANSLATE(B159, ""fr"", ""en"")"),"Good but ... well Corresponds to the photo, the color orange is orange, however, easy to put on shoes for my son and size n is not necessarily appropriate, his shoes are ultimately more difficult to put that before ...")</f>
        <v>Good but ... well Corresponds to the photo, the color orange is orange, however, easy to put on shoes for my son and size n is not necessarily appropriate, his shoes are ultimately more difficult to put that before ...</v>
      </c>
    </row>
    <row r="160">
      <c r="A160" s="1">
        <v>3.0</v>
      </c>
      <c r="B160" s="1" t="s">
        <v>161</v>
      </c>
      <c r="C160" t="str">
        <f>IFERROR(__xludf.DUMMYFUNCTION("GOOGLETRANSLATE(B160, ""fr"", ""en"")"),"Not practical. Beautiful kettle with defects not lose it every time without filter when trying to clean the kettle by donating water. The cover also hold water when you leave it ajar there is water leaking and long runs of plain tea you put everywhere. So"&amp;" whenever you grasp the kettle base remains attached and falls afterwards, doing his job.")</f>
        <v>Not practical. Beautiful kettle with defects not lose it every time without filter when trying to clean the kettle by donating water. The cover also hold water when you leave it ajar there is water leaking and long runs of plain tea you put everywhere. So whenever you grasp the kettle base remains attached and falls afterwards, doing his job.</v>
      </c>
    </row>
    <row r="161">
      <c r="A161" s="1">
        <v>4.0</v>
      </c>
      <c r="B161" s="1" t="s">
        <v>162</v>
      </c>
      <c r="C161" t="str">
        <f>IFERROR(__xludf.DUMMYFUNCTION("GOOGLETRANSLATE(B161, ""fr"", ""en"")"),"Choose the size I bought these shoes to walk barefoot like! They are great! I am very happy. I put on the 38 and I took the 36/38 size. For 36 they must be a little larger. For the 38, it's perfect!")</f>
        <v>Choose the size I bought these shoes to walk barefoot like! They are great! I am very happy. I put on the 38 and I took the 36/38 size. For 36 they must be a little larger. For the 38, it's perfect!</v>
      </c>
    </row>
    <row r="162">
      <c r="A162" s="1">
        <v>4.0</v>
      </c>
      <c r="B162" s="1" t="s">
        <v>163</v>
      </c>
      <c r="C162" t="str">
        <f>IFERROR(__xludf.DUMMYFUNCTION("GOOGLETRANSLATE(B162, ""fr"", ""en"")"),"Super Fast Heat up quickly. Thanks to the water vapor not using a lot of water. Easy of use and cleaning with a damp cloth")</f>
        <v>Super Fast Heat up quickly. Thanks to the water vapor not using a lot of water. Easy of use and cleaning with a damp cloth</v>
      </c>
    </row>
    <row r="163">
      <c r="A163" s="1">
        <v>4.0</v>
      </c>
      <c r="B163" s="1" t="s">
        <v>164</v>
      </c>
      <c r="C163" t="str">
        <f>IFERROR(__xludf.DUMMYFUNCTION("GOOGLETRANSLATE(B163, ""fr"", ""en"")"),"Friendly but a close up Pretty cap, but up too late. This explains the price.")</f>
        <v>Friendly but a close up Pretty cap, but up too late. This explains the price.</v>
      </c>
    </row>
    <row r="164">
      <c r="A164" s="1">
        <v>4.0</v>
      </c>
      <c r="B164" s="1" t="s">
        <v>165</v>
      </c>
      <c r="C164" t="str">
        <f>IFERROR(__xludf.DUMMYFUNCTION("GOOGLETRANSLATE(B164, ""fr"", ""en"")"),"Very good report quality price Very good experience. the price is low and the quality very well. better than some brands (Sony and others) more expensive. headphones are delivered in a spherical iron box, original for this kind of product. the box contain"&amp;"ing a small bag to put his headphones and several plastic foam of various sizes to better adapt to the ears. there among them forms of memory foams. I prefer the classics that hold better to the ears, but you can choose. the thread looks solid and the two"&amp;" headphones are magnetized, thus when do not used, not to lug around in all directions. the sound is good to see very good. good bass but do not alter the pieces and clear treble. a brief are balanced. I listen to lots of music and am a musician. I eat re"&amp;"gularly headphones because they become defective generally after six months, and by comparison, I have not found better value for money. to see over time if it will take more than six months but I will redeem if this is not the case, probably. more specia"&amp;"l (great) to the email they sent to each order. read on, you'll see it's good to see startup that can not be taken seriously while doing serious work. hat.")</f>
        <v>Very good report quality price Very good experience. the price is low and the quality very well. better than some brands (Sony and others) more expensive. headphones are delivered in a spherical iron box, original for this kind of product. the box containing a small bag to put his headphones and several plastic foam of various sizes to better adapt to the ears. there among them forms of memory foams. I prefer the classics that hold better to the ears, but you can choose. the thread looks solid and the two headphones are magnetized, thus when do not used, not to lug around in all directions. the sound is good to see very good. good bass but do not alter the pieces and clear treble. a brief are balanced. I listen to lots of music and am a musician. I eat regularly headphones because they become defective generally after six months, and by comparison, I have not found better value for money. to see over time if it will take more than six months but I will redeem if this is not the case, probably. more special (great) to the email they sent to each order. read on, you'll see it's good to see startup that can not be taken seriously while doing serious work. hat.</v>
      </c>
    </row>
    <row r="165">
      <c r="A165" s="1">
        <v>4.0</v>
      </c>
      <c r="B165" s="1" t="s">
        <v>166</v>
      </c>
      <c r="C165" t="str">
        <f>IFERROR(__xludf.DUMMYFUNCTION("GOOGLETRANSLATE(B165, ""fr"", ""en"")"),"OK but not great in comparison to a 'old solar Casio Wave: The buzzer is not very strong and bracelet and less flexible in adjusting between two links. Autonomy also seems less but can be load was not complete. By cons, better finish and sapphire glass (t"&amp;"hat's a big plus). Too bad that only 3 buttons for settings.")</f>
        <v>OK but not great in comparison to a 'old solar Casio Wave: The buzzer is not very strong and bracelet and less flexible in adjusting between two links. Autonomy also seems less but can be load was not complete. By cons, better finish and sapphire glass (that's a big plus). Too bad that only 3 buttons for settings.</v>
      </c>
    </row>
    <row r="166">
      <c r="A166" s="1">
        <v>5.0</v>
      </c>
      <c r="B166" s="1" t="s">
        <v>167</v>
      </c>
      <c r="C166" t="str">
        <f>IFERROR(__xludf.DUMMYFUNCTION("GOOGLETRANSLATE(B166, ""fr"", ""en"")"),"Watch casio Bought for my son. He had another casio for 6 years and that's bracelet that no longer held. The battery was impeccable ... He liked the blue and he wants the casio.")</f>
        <v>Watch casio Bought for my son. He had another casio for 6 years and that's bracelet that no longer held. The battery was impeccable ... He liked the blue and he wants the casio.</v>
      </c>
    </row>
    <row r="167">
      <c r="A167" s="1">
        <v>5.0</v>
      </c>
      <c r="B167" s="1" t="s">
        <v>168</v>
      </c>
      <c r="C167" t="str">
        <f>IFERROR(__xludf.DUMMYFUNCTION("GOOGLETRANSLATE(B167, ""fr"", ""en"")"),"Now let's the effect from the first session. The light is intense. I'll use all winter to reduce the effects of seasonal depression.")</f>
        <v>Now let's the effect from the first session. The light is intense. I'll use all winter to reduce the effects of seasonal depression.</v>
      </c>
    </row>
    <row r="168">
      <c r="A168" s="1">
        <v>5.0</v>
      </c>
      <c r="B168" s="1" t="s">
        <v>169</v>
      </c>
      <c r="C168" t="str">
        <f>IFERROR(__xludf.DUMMYFUNCTION("GOOGLETRANSLATE(B168, ""fr"", ""en"")"),"Crocs impeccable, nothing to say, I suggest.")</f>
        <v>Crocs impeccable, nothing to say, I suggest.</v>
      </c>
    </row>
    <row r="169">
      <c r="A169" s="1">
        <v>5.0</v>
      </c>
      <c r="B169" s="1" t="s">
        <v>170</v>
      </c>
      <c r="C169" t="str">
        <f>IFERROR(__xludf.DUMMYFUNCTION("GOOGLETRANSLATE(B169, ""fr"", ""en"")"),"Nickel earphones handy good wife my ear and impeccable sound quality ideal for listening to music or watching a movie call")</f>
        <v>Nickel earphones handy good wife my ear and impeccable sound quality ideal for listening to music or watching a movie call</v>
      </c>
    </row>
    <row r="170">
      <c r="A170" s="1">
        <v>5.0</v>
      </c>
      <c r="B170" s="1" t="s">
        <v>171</v>
      </c>
      <c r="C170" t="str">
        <f>IFERROR(__xludf.DUMMYFUNCTION("GOOGLETRANSLATE(B170, ""fr"", ""en"")"),"Perfect &lt;div id = ""video-block-R36NX1HULG5BC9"" class = ""a-section-spacing-small in-spacing-top mini video-block""&gt; &lt;/ div&gt; &lt;input type = ""hidden"" name = """" value = ""https://images-eu.ssl-images-amazon.com/images/I/71tmmJlr9gS.mp4"" class = ""video"&amp;"-url""&gt; &lt;input type = ""hidden"" name = """" value = ""https : //images-eu.ssl-images-amazon.com/images/I/917-U3OIkqS.png ""class ="" video-slate-img-url ""&gt; &amp; nbsp; Excellent! The dream became reality! This massager is just perfect for my feet super tire"&amp;"d, my good stimulates blood circulation. Not noisy at all to my ears: p Anyway I could write a long chapter of the benefits of this massage device, but it'll be too long ... :) All I can say is that I really recommend to fans of foot massage, it's just a "&amp;"wonder !!! Thank you for all these small technological inventions I love it!")</f>
        <v>Perfect &lt;div id = "video-block-R36NX1HULG5BC9" class = "a-section-spacing-small in-spacing-top mini video-block"&gt; &lt;/ div&gt; &lt;input type = "hidden" name = "" value = "https://images-eu.ssl-images-amazon.com/images/I/71tmmJlr9gS.mp4" class = "video-url"&gt; &lt;input type = "hidden" name = "" value = "https : //images-eu.ssl-images-amazon.com/images/I/917-U3OIkqS.png "class =" video-slate-img-url "&gt; &amp; nbsp; Excellent! The dream became reality! This massager is just perfect for my feet super tired, my good stimulates blood circulation. Not noisy at all to my ears: p Anyway I could write a long chapter of the benefits of this massage device, but it'll be too long ... :) All I can say is that I really recommend to fans of foot massage, it's just a wonder !!! Thank you for all these small technological inventions I love it!</v>
      </c>
    </row>
    <row r="171">
      <c r="A171" s="1">
        <v>5.0</v>
      </c>
      <c r="B171" s="1" t="s">
        <v>172</v>
      </c>
      <c r="C171" t="str">
        <f>IFERROR(__xludf.DUMMYFUNCTION("GOOGLETRANSLATE(B171, ""fr"", ""en"")"),"Very good quality socks. Bought for my daughter who is very satisfied. Very good value for money. Do not deny it!")</f>
        <v>Very good quality socks. Bought for my daughter who is very satisfied. Very good value for money. Do not deny it!</v>
      </c>
    </row>
    <row r="172">
      <c r="A172" s="1">
        <v>5.0</v>
      </c>
      <c r="B172" s="1" t="s">
        <v>173</v>
      </c>
      <c r="C172" t="str">
        <f>IFERROR(__xludf.DUMMYFUNCTION("GOOGLETRANSLATE(B172, ""fr"", ""en"")"),"Nikel Very happy for my purchase")</f>
        <v>Nikel Very happy for my purchase</v>
      </c>
    </row>
    <row r="173">
      <c r="A173" s="1">
        <v>5.0</v>
      </c>
      <c r="B173" s="1" t="s">
        <v>174</v>
      </c>
      <c r="C173" t="str">
        <f>IFERROR(__xludf.DUMMYFUNCTION("GOOGLETRANSLATE(B173, ""fr"", ""en"")"),"Top These are perfect bottle to keep giving her maternal milk when in returning to work! The only bib accept it live!")</f>
        <v>Top These are perfect bottle to keep giving her maternal milk when in returning to work! The only bib accept it live!</v>
      </c>
    </row>
    <row r="174">
      <c r="A174" s="1">
        <v>5.0</v>
      </c>
      <c r="B174" s="1" t="s">
        <v>175</v>
      </c>
      <c r="C174" t="str">
        <f>IFERROR(__xludf.DUMMYFUNCTION("GOOGLETRANSLATE(B174, ""fr"", ""en"")"),"very effective mask! I usually avoid this kind of products that are far from natural, but I admit that I'm addicted to this mask. I suffer from a few pimples on the chin (for almost 30 years ...) With this mask they significantly reduced! I use about 2 ti"&amp;"mes a week when I found that I look bad, he leaves me soft skin and a brighter complexion. When I feel that a button will appear, I apply with a cotton swab on the relevant button and left to stand overnight, the next day I do not have to worry about it! "&amp;"I even used a herpes button, it has almost disappeared in 2 days, amazing! The product tingles a little, but despite my very sensitive skin, no redness after removal. I highly recommend trying and think the other masks in the range.")</f>
        <v>very effective mask! I usually avoid this kind of products that are far from natural, but I admit that I'm addicted to this mask. I suffer from a few pimples on the chin (for almost 30 years ...) With this mask they significantly reduced! I use about 2 times a week when I found that I look bad, he leaves me soft skin and a brighter complexion. When I feel that a button will appear, I apply with a cotton swab on the relevant button and left to stand overnight, the next day I do not have to worry about it! I even used a herpes button, it has almost disappeared in 2 days, amazing! The product tingles a little, but despite my very sensitive skin, no redness after removal. I highly recommend trying and think the other masks in the range.</v>
      </c>
    </row>
    <row r="175">
      <c r="A175" s="1">
        <v>5.0</v>
      </c>
      <c r="B175" s="1" t="s">
        <v>176</v>
      </c>
      <c r="C175" t="str">
        <f>IFERROR(__xludf.DUMMYFUNCTION("GOOGLETRANSLATE(B175, ""fr"", ""en"")"),"Unbeatable Value. So far I have not needed to print enough documents to get enough perspective, this feedback can thus be biased. Nothing to report for printing text. The images I printed - on good quality paper - have some minor flaws, but I suspect that"&amp;" the printer starts to date in this logic of planned obsolescence. Too little hindsight to judge the level of ink, but I doubt that these cartridges suffer from the comparison with ""&amp; nbsp; &amp; nbsp official,"" as these are expensive and print few leaves. "&amp;"When installing the cartridges were recognized as ""&amp; nbsp; non-"" brand. After restarting the printer, an error message appeared. The point may be the most important: the price, the manufacturer's borders on indecency, and here there is a four to five ti"&amp;"mes lower price. In short: a highly substitutable product, and significantly cheaper. You are free to demonstrate snobbery.")</f>
        <v>Unbeatable Value. So far I have not needed to print enough documents to get enough perspective, this feedback can thus be biased. Nothing to report for printing text. The images I printed - on good quality paper - have some minor flaws, but I suspect that the printer starts to date in this logic of planned obsolescence. Too little hindsight to judge the level of ink, but I doubt that these cartridges suffer from the comparison with "&amp; nbsp; &amp; nbsp official," as these are expensive and print few leaves. When installing the cartridges were recognized as "&amp; nbsp; non-" brand. After restarting the printer, an error message appeared. The point may be the most important: the price, the manufacturer's borders on indecency, and here there is a four to five times lower price. In short: a highly substitutable product, and significantly cheaper. You are free to demonstrate snobbery.</v>
      </c>
    </row>
    <row r="176">
      <c r="A176" s="1">
        <v>5.0</v>
      </c>
      <c r="B176" s="1" t="s">
        <v>177</v>
      </c>
      <c r="C176" t="str">
        <f>IFERROR(__xludf.DUMMYFUNCTION("GOOGLETRANSLATE(B176, ""fr"", ""en"")"),"Beautiful book Beautiful. Beautiful designs, well written ... to offer to your children (boy or girl)")</f>
        <v>Beautiful book Beautiful. Beautiful designs, well written ... to offer to your children (boy or girl)</v>
      </c>
    </row>
    <row r="177">
      <c r="A177" s="1">
        <v>5.0</v>
      </c>
      <c r="B177" s="1" t="s">
        <v>178</v>
      </c>
      <c r="C177" t="str">
        <f>IFERROR(__xludf.DUMMYFUNCTION("GOOGLETRANSLATE(B177, ""fr"", ""en"")"),"Shoes speedcross4 product according to the command. Beautifully crafted and very comfortable to use. A super flu during use in forest land, mountain. Arrived very quickly and very well packed!")</f>
        <v>Shoes speedcross4 product according to the command. Beautifully crafted and very comfortable to use. A super flu during use in forest land, mountain. Arrived very quickly and very well packed!</v>
      </c>
    </row>
    <row r="178">
      <c r="A178" s="1">
        <v>5.0</v>
      </c>
      <c r="B178" s="1" t="s">
        <v>179</v>
      </c>
      <c r="C178" t="str">
        <f>IFERROR(__xludf.DUMMYFUNCTION("GOOGLETRANSLATE(B178, ""fr"", ""en"")"),"Effective Effective at any point: colds, muscle pain and headache. I recommand it")</f>
        <v>Effective Effective at any point: colds, muscle pain and headache. I recommand it</v>
      </c>
    </row>
    <row r="179">
      <c r="A179" s="1">
        <v>5.0</v>
      </c>
      <c r="B179" s="1" t="s">
        <v>180</v>
      </c>
      <c r="C179" t="str">
        <f>IFERROR(__xludf.DUMMYFUNCTION("GOOGLETRANSLATE(B179, ""fr"", ""en"")"),"Tb Tb")</f>
        <v>Tb Tb</v>
      </c>
    </row>
    <row r="180">
      <c r="A180" s="1">
        <v>5.0</v>
      </c>
      <c r="B180" s="1" t="s">
        <v>181</v>
      </c>
      <c r="C180" t="str">
        <f>IFERROR(__xludf.DUMMYFUNCTION("GOOGLETRANSLATE(B180, ""fr"", ""en"")"),"I love their fragrance I swore by soupline and disappointed not to have bought earlier Cajoline because I love perfume")</f>
        <v>I love their fragrance I swore by soupline and disappointed not to have bought earlier Cajoline because I love perfume</v>
      </c>
    </row>
    <row r="181">
      <c r="A181" s="1">
        <v>5.0</v>
      </c>
      <c r="B181" s="1" t="s">
        <v>182</v>
      </c>
      <c r="C181" t="str">
        <f>IFERROR(__xludf.DUMMYFUNCTION("GOOGLETRANSLATE(B181, ""fr"", ""en"")"),"bottle excellent value for money, ease with a full disassembly, very practical baby love, and mom too. I highly recommend it.")</f>
        <v>bottle excellent value for money, ease with a full disassembly, very practical baby love, and mom too. I highly recommend it.</v>
      </c>
    </row>
    <row r="182">
      <c r="A182" s="1">
        <v>2.0</v>
      </c>
      <c r="B182" s="1" t="s">
        <v>183</v>
      </c>
      <c r="C182" t="str">
        <f>IFERROR(__xludf.DUMMYFUNCTION("GOOGLETRANSLATE(B182, ""fr"", ""en"")"),"factory problem? The black cartridge has never functioned properly. Despite several attempts nozzle cleaning and alignment heads it never worked properly")</f>
        <v>factory problem? The black cartridge has never functioned properly. Despite several attempts nozzle cleaning and alignment heads it never worked properly</v>
      </c>
    </row>
    <row r="183">
      <c r="A183" s="1">
        <v>1.0</v>
      </c>
      <c r="B183" s="1" t="s">
        <v>184</v>
      </c>
      <c r="C183" t="str">
        <f>IFERROR(__xludf.DUMMYFUNCTION("GOOGLETRANSLATE(B183, ""fr"", ""en"")"),"handling suction cups! I would like to have a manual in French, essential!")</f>
        <v>handling suction cups! I would like to have a manual in French, essential!</v>
      </c>
    </row>
    <row r="184">
      <c r="A184" s="1">
        <v>1.0</v>
      </c>
      <c r="B184" s="1" t="s">
        <v>185</v>
      </c>
      <c r="C184" t="str">
        <f>IFERROR(__xludf.DUMMYFUNCTION("GOOGLETRANSLATE(B184, ""fr"", ""en"")"),"REFILLS OF WORKS DAY These refills are not working for a few hours .. it's a shame I keep changing ... is understandable why a lot as advantageous")</f>
        <v>REFILLS OF WORKS DAY These refills are not working for a few hours .. it's a shame I keep changing ... is understandable why a lot as advantageous</v>
      </c>
    </row>
    <row r="185">
      <c r="A185" s="1">
        <v>3.0</v>
      </c>
      <c r="B185" s="1" t="s">
        <v>186</v>
      </c>
      <c r="C185" t="str">
        <f>IFERROR(__xludf.DUMMYFUNCTION("GOOGLETRANSLATE(B185, ""fr"", ""en"")"),"Middle Overall okay, however I find it is not practical when we want to open it with one hand (and that was the baby in the other), and I've had trouble with the temperature ...")</f>
        <v>Middle Overall okay, however I find it is not practical when we want to open it with one hand (and that was the baby in the other), and I've had trouble with the temperature ...</v>
      </c>
    </row>
    <row r="186">
      <c r="A186" s="1">
        <v>3.0</v>
      </c>
      <c r="B186" s="1" t="s">
        <v>187</v>
      </c>
      <c r="C186" t="str">
        <f>IFERROR(__xludf.DUMMYFUNCTION("GOOGLETRANSLATE(B186, ""fr"", ""en"")"),"Basic effective Sweat classic comfortable fit, take a size below")</f>
        <v>Basic effective Sweat classic comfortable fit, take a size below</v>
      </c>
    </row>
    <row r="187">
      <c r="A187" s="1">
        <v>4.0</v>
      </c>
      <c r="B187" s="1" t="s">
        <v>188</v>
      </c>
      <c r="C187" t="str">
        <f>IFERROR(__xludf.DUMMYFUNCTION("GOOGLETRANSLATE(B187, ""fr"", ""en"")"),"useful, I recommended good product")</f>
        <v>useful, I recommended good product</v>
      </c>
    </row>
    <row r="188">
      <c r="A188" s="1">
        <v>4.0</v>
      </c>
      <c r="B188" s="1" t="s">
        <v>189</v>
      </c>
      <c r="C188" t="str">
        <f>IFERROR(__xludf.DUMMYFUNCTION("GOOGLETRANSLATE(B188, ""fr"", ""en"")"),"Quality Comment late, because I expected to make use of these cartridges! They are perfect, quickly installed and recognized by the printer immediately. authentic colors, excellent use, and above all excellent value -Price! But disaster to install the yel"&amp;"low cartridge, which at first was not recognized then as used ... failure")</f>
        <v>Quality Comment late, because I expected to make use of these cartridges! They are perfect, quickly installed and recognized by the printer immediately. authentic colors, excellent use, and above all excellent value -Price! But disaster to install the yellow cartridge, which at first was not recognized then as used ... failure</v>
      </c>
    </row>
    <row r="189">
      <c r="A189" s="1">
        <v>4.0</v>
      </c>
      <c r="B189" s="1" t="s">
        <v>190</v>
      </c>
      <c r="C189" t="str">
        <f>IFERROR(__xludf.DUMMYFUNCTION("GOOGLETRANSLATE(B189, ""fr"", ""en"")"),"They are comfortable to wear Great for the sport or another I recommend")</f>
        <v>They are comfortable to wear Great for the sport or another I recommend</v>
      </c>
    </row>
    <row r="190">
      <c r="A190" s="1">
        <v>4.0</v>
      </c>
      <c r="B190" s="1" t="s">
        <v>191</v>
      </c>
      <c r="C190" t="str">
        <f>IFERROR(__xludf.DUMMYFUNCTION("GOOGLETRANSLATE(B190, ""fr"", ""en"")"),"Although familiar with. To check the time. I like the model, the setting of the watch is not easy. What I do not like against it by lighting the time, a simple ignition of the screen and no backlight.")</f>
        <v>Although familiar with. To check the time. I like the model, the setting of the watch is not easy. What I do not like against it by lighting the time, a simple ignition of the screen and no backlight.</v>
      </c>
    </row>
    <row r="191">
      <c r="A191" s="1">
        <v>5.0</v>
      </c>
      <c r="B191" s="1" t="s">
        <v>192</v>
      </c>
      <c r="C191" t="str">
        <f>IFERROR(__xludf.DUMMYFUNCTION("GOOGLETRANSLATE(B191, ""fr"", ""en"")"),"QUALITY AVENT ally the glass! TOP Formula bi berons glass is the SAFETY hygiene this will not move! Durable QUALITY ++++++")</f>
        <v>QUALITY AVENT ally the glass! TOP Formula bi berons glass is the SAFETY hygiene this will not move! Durable QUALITY ++++++</v>
      </c>
    </row>
    <row r="192">
      <c r="A192" s="1">
        <v>5.0</v>
      </c>
      <c r="B192" s="1" t="s">
        <v>193</v>
      </c>
      <c r="C192" t="str">
        <f>IFERROR(__xludf.DUMMYFUNCTION("GOOGLETRANSLATE(B192, ""fr"", ""en"")"),"Comfort Nothing to say! Comfort absolute, they can be machine no problem!")</f>
        <v>Comfort Nothing to say! Comfort absolute, they can be machine no problem!</v>
      </c>
    </row>
    <row r="193">
      <c r="A193" s="1">
        <v>5.0</v>
      </c>
      <c r="B193" s="1" t="s">
        <v>194</v>
      </c>
      <c r="C193" t="str">
        <f>IFERROR(__xludf.DUMMYFUNCTION("GOOGLETRANSLATE(B193, ""fr"", ""en"")"),"red shorts my daughter made the 34/36 and it suits him perfectly, not too hot end ideal for summer or under a skirt")</f>
        <v>red shorts my daughter made the 34/36 and it suits him perfectly, not too hot end ideal for summer or under a skirt</v>
      </c>
    </row>
    <row r="194">
      <c r="A194" s="1">
        <v>5.0</v>
      </c>
      <c r="B194" s="1" t="s">
        <v>195</v>
      </c>
      <c r="C194" t="str">
        <f>IFERROR(__xludf.DUMMYFUNCTION("GOOGLETRANSLATE(B194, ""fr"", ""en"")"),"The most convenient Very convenient thanks to the rotating brush")</f>
        <v>The most convenient Very convenient thanks to the rotating brush</v>
      </c>
    </row>
    <row r="195">
      <c r="A195" s="1">
        <v>5.0</v>
      </c>
      <c r="B195" s="1" t="s">
        <v>196</v>
      </c>
      <c r="C195" t="str">
        <f>IFERROR(__xludf.DUMMYFUNCTION("GOOGLETRANSLATE(B195, ""fr"", ""en"")"),"Farewell pain Doing a lot of exercise, I had upper back pain. Using this pillow at night before bed, I have no more pain. The movement is nice. The pillow is perfect for those who, like me, prefer massages ""hard""")</f>
        <v>Farewell pain Doing a lot of exercise, I had upper back pain. Using this pillow at night before bed, I have no more pain. The movement is nice. The pillow is perfect for those who, like me, prefer massages "hard"</v>
      </c>
    </row>
    <row r="196">
      <c r="A196" s="1">
        <v>5.0</v>
      </c>
      <c r="B196" s="1" t="s">
        <v>197</v>
      </c>
      <c r="C196" t="str">
        <f>IFERROR(__xludf.DUMMYFUNCTION("GOOGLETRANSLATE(B196, ""fr"", ""en"")"),"I love Jolie schoolboy ideal for my son he 2in1 😁😁")</f>
        <v>I love Jolie schoolboy ideal for my son he 2in1 😁😁</v>
      </c>
    </row>
    <row r="197">
      <c r="A197" s="1">
        <v>5.0</v>
      </c>
      <c r="B197" s="1" t="s">
        <v>198</v>
      </c>
      <c r="C197" t="str">
        <f>IFERROR(__xludf.DUMMYFUNCTION("GOOGLETRANSLATE(B197, ""fr"", ""en"")"),"very nice watch After more than a month of use, I have to say I'm really happy with my purchase. This watch is really good, neither too big nor too small and I don 't have a big wrist ... Aesthetically it's beautiful !!")</f>
        <v>very nice watch After more than a month of use, I have to say I'm really happy with my purchase. This watch is really good, neither too big nor too small and I don 't have a big wrist ... Aesthetically it's beautiful !!</v>
      </c>
    </row>
    <row r="198">
      <c r="A198" s="1">
        <v>5.0</v>
      </c>
      <c r="B198" s="1" t="s">
        <v>199</v>
      </c>
      <c r="C198" t="str">
        <f>IFERROR(__xludf.DUMMYFUNCTION("GOOGLETRANSLATE(B198, ""fr"", ""en"")"),"These aquatic light and strong shoes are very comfortable and pleasant to wear. They are made of neoprene, the fabric is soft and stretchy. These soles are thick convoluted foam and super soft. It was like walking on a cloud ... Side look, these shoes are"&amp;" also very pretty with their assorted soles. Very well finished, right size, quality product.")</f>
        <v>These aquatic light and strong shoes are very comfortable and pleasant to wear. They are made of neoprene, the fabric is soft and stretchy. These soles are thick convoluted foam and super soft. It was like walking on a cloud ... Side look, these shoes are also very pretty with their assorted soles. Very well finished, right size, quality product.</v>
      </c>
    </row>
    <row r="199">
      <c r="A199" s="1">
        <v>5.0</v>
      </c>
      <c r="B199" s="1" t="s">
        <v>200</v>
      </c>
      <c r="C199" t="str">
        <f>IFERROR(__xludf.DUMMYFUNCTION("GOOGLETRANSLATE(B199, ""fr"", ""en"")"),"Beautiful sweatshirt Sweat very light but pleasant enough to the touch, J adore the pattern that's why I have it to buy I am very satisfied")</f>
        <v>Beautiful sweatshirt Sweat very light but pleasant enough to the touch, J adore the pattern that's why I have it to buy I am very satisfied</v>
      </c>
    </row>
    <row r="200">
      <c r="A200" s="1">
        <v>5.0</v>
      </c>
      <c r="B200" s="1" t="s">
        <v>201</v>
      </c>
      <c r="C200" t="str">
        <f>IFERROR(__xludf.DUMMYFUNCTION("GOOGLETRANSLATE(B200, ""fr"", ""en"")"),"Excellent in terms of sound (complement) After weeks of running, my opinion on this helmet is confirmed. It's excellent. The sound is balanced, no record is highlighted. The veracity of the stamps, the finesse, the polyphony of precision are at the rendez"&amp;"vous. The only sad point in my case, is in comfort: the tightening is not really adjustable, it hurts me around the left ear. Then the faux leather is unpleasant. It looked much improved by replacing it with velvet. But the value is very very supportive. "&amp;"Complement added a month later: I replaced the leatherette ear by ear velvet found on Amazon: the contribution is very important for comfort, it's not worth the trouble without it. Again, shame qu'AKG does not offer this option. Be careful to choose these"&amp;" headphones, not all agree: some are too thick and too far removed the ear of the active membrane.")</f>
        <v>Excellent in terms of sound (complement) After weeks of running, my opinion on this helmet is confirmed. It's excellent. The sound is balanced, no record is highlighted. The veracity of the stamps, the finesse, the polyphony of precision are at the rendezvous. The only sad point in my case, is in comfort: the tightening is not really adjustable, it hurts me around the left ear. Then the faux leather is unpleasant. It looked much improved by replacing it with velvet. But the value is very very supportive. Complement added a month later: I replaced the leatherette ear by ear velvet found on Amazon: the contribution is very important for comfort, it's not worth the trouble without it. Again, shame qu'AKG does not offer this option. Be careful to choose these headphones, not all agree: some are too thick and too far removed the ear of the active membrane.</v>
      </c>
    </row>
    <row r="201">
      <c r="A201" s="1">
        <v>5.0</v>
      </c>
      <c r="B201" s="1" t="s">
        <v>202</v>
      </c>
      <c r="C201" t="str">
        <f>IFERROR(__xludf.DUMMYFUNCTION("GOOGLETRANSLATE(B201, ""fr"", ""en"")"),"Very good quality / price for all day")</f>
        <v>Very good quality / price for all day</v>
      </c>
    </row>
    <row r="202">
      <c r="A202" s="1">
        <v>5.0</v>
      </c>
      <c r="B202" s="1" t="s">
        <v>203</v>
      </c>
      <c r="C202" t="str">
        <f>IFERROR(__xludf.DUMMYFUNCTION("GOOGLETRANSLATE(B202, ""fr"", ""en"")"),"Very good microphone Before I used the microphone in my headphones but this TV reception all the sounds of my keyboard even testing different settings. So I decided to buy a microphone separately. I am absolutely delighted with this article. The fact that"&amp;" he waited way to the sounds of my keyboard is heard almost at all. My voice is much clearer, so that it seems that I speak directly into the ears of my interlocutors.")</f>
        <v>Very good microphone Before I used the microphone in my headphones but this TV reception all the sounds of my keyboard even testing different settings. So I decided to buy a microphone separately. I am absolutely delighted with this article. The fact that he waited way to the sounds of my keyboard is heard almost at all. My voice is much clearer, so that it seems that I speak directly into the ears of my interlocutors.</v>
      </c>
    </row>
    <row r="203">
      <c r="A203" s="1">
        <v>5.0</v>
      </c>
      <c r="B203" s="1" t="s">
        <v>204</v>
      </c>
      <c r="C203" t="str">
        <f>IFERROR(__xludf.DUMMYFUNCTION("GOOGLETRANSLATE(B203, ""fr"", ""en"")"),"Top Top")</f>
        <v>Top Top</v>
      </c>
    </row>
    <row r="204">
      <c r="A204" s="1">
        <v>5.0</v>
      </c>
      <c r="B204" s="1" t="s">
        <v>205</v>
      </c>
      <c r="C204" t="str">
        <f>IFERROR(__xludf.DUMMYFUNCTION("GOOGLETRANSLATE(B204, ""fr"", ""en"")"),"Practice Nice design, big enough to do everything, very convenient to carry")</f>
        <v>Practice Nice design, big enough to do everything, very convenient to carry</v>
      </c>
    </row>
    <row r="205">
      <c r="A205" s="1">
        <v>5.0</v>
      </c>
      <c r="B205" s="1" t="s">
        <v>206</v>
      </c>
      <c r="C205" t="str">
        <f>IFERROR(__xludf.DUMMYFUNCTION("GOOGLETRANSLATE(B205, ""fr"", ""en"")"),"Very good Excellent product to clean the bottles, much less a foaming detergent and rinses better. Be careful, though, not to let the bottle in the sun the day because otherwise the liquid ""&amp; nbsp; &amp; nbsp turns"" and may be good to throw!")</f>
        <v>Very good Excellent product to clean the bottles, much less a foaming detergent and rinses better. Be careful, though, not to let the bottle in the sun the day because otherwise the liquid "&amp; nbsp; &amp; nbsp turns" and may be good to throw!</v>
      </c>
    </row>
    <row r="206">
      <c r="A206" s="1">
        <v>2.0</v>
      </c>
      <c r="B206" s="1" t="s">
        <v>207</v>
      </c>
      <c r="C206" t="str">
        <f>IFERROR(__xludf.DUMMYFUNCTION("GOOGLETRANSLATE(B206, ""fr"", ""en"")"),"Sustainable Gros obre equipment tros feble but comfortable")</f>
        <v>Sustainable Gros obre equipment tros feble but comfortable</v>
      </c>
    </row>
    <row r="207">
      <c r="A207" s="1">
        <v>1.0</v>
      </c>
      <c r="B207" s="1" t="s">
        <v>208</v>
      </c>
      <c r="C207" t="str">
        <f>IFERROR(__xludf.DUMMYFUNCTION("GOOGLETRANSLATE(B207, ""fr"", ""en"")"),"Bad Disappointed +++ No information that if it were basketball leather, not canvas. Poor product description.")</f>
        <v>Bad Disappointed +++ No information that if it were basketball leather, not canvas. Poor product description.</v>
      </c>
    </row>
    <row r="208">
      <c r="A208" s="1">
        <v>1.0</v>
      </c>
      <c r="B208" s="1" t="s">
        <v>209</v>
      </c>
      <c r="C208" t="str">
        <f>IFERROR(__xludf.DUMMYFUNCTION("GOOGLETRANSLATE(B208, ""fr"", ""en"")"),"Not compliant too small Sweatshirt Size S and L equivalent 10 and 12 years. Failure to manufacture very fine and not conform to its description. I request the return and refund of my 2 items no answers to date. Absolutely not recommended")</f>
        <v>Not compliant too small Sweatshirt Size S and L equivalent 10 and 12 years. Failure to manufacture very fine and not conform to its description. I request the return and refund of my 2 items no answers to date. Absolutely not recommended</v>
      </c>
    </row>
    <row r="209">
      <c r="A209" s="1">
        <v>3.0</v>
      </c>
      <c r="B209" s="1" t="s">
        <v>210</v>
      </c>
      <c r="C209" t="str">
        <f>IFERROR(__xludf.DUMMYFUNCTION("GOOGLETRANSLATE(B209, ""fr"", ""en"")"),"Watch fob pocket watch Very nice overall, there is the chain that I dislike, pity she is not in the same tone of yellow as the watch.")</f>
        <v>Watch fob pocket watch Very nice overall, there is the chain that I dislike, pity she is not in the same tone of yellow as the watch.</v>
      </c>
    </row>
    <row r="210">
      <c r="A210" s="1">
        <v>3.0</v>
      </c>
      <c r="B210" s="1" t="s">
        <v>211</v>
      </c>
      <c r="C210" t="str">
        <f>IFERROR(__xludf.DUMMYFUNCTION("GOOGLETRANSLATE(B210, ""fr"", ""en"")"),"Good shoes good shoes but very thin soles.")</f>
        <v>Good shoes good shoes but very thin soles.</v>
      </c>
    </row>
    <row r="211">
      <c r="A211" s="1">
        <v>4.0</v>
      </c>
      <c r="B211" s="1" t="s">
        <v>212</v>
      </c>
      <c r="C211" t="str">
        <f>IFERROR(__xludf.DUMMYFUNCTION("GOOGLETRANSLATE(B211, ""fr"", ""en"")"),"Nice and light. Beautiful design but apparently un.peu fragile. To see over time.")</f>
        <v>Nice and light. Beautiful design but apparently un.peu fragile. To see over time.</v>
      </c>
    </row>
    <row r="212">
      <c r="A212" s="1">
        <v>4.0</v>
      </c>
      <c r="B212" s="1" t="s">
        <v>213</v>
      </c>
      <c r="C212" t="str">
        <f>IFERROR(__xludf.DUMMYFUNCTION("GOOGLETRANSLATE(B212, ""fr"", ""en"")"),"Beautiful bracelets product conform to its description, and fast delivery and on time.")</f>
        <v>Beautiful bracelets product conform to its description, and fast delivery and on time.</v>
      </c>
    </row>
    <row r="213">
      <c r="A213" s="1">
        <v>4.0</v>
      </c>
      <c r="B213" s="1" t="s">
        <v>214</v>
      </c>
      <c r="C213" t="str">
        <f>IFERROR(__xludf.DUMMYFUNCTION("GOOGLETRANSLATE(B213, ""fr"", ""en"")"),"Pretty nice but without quite large ... damage.")</f>
        <v>Pretty nice but without quite large ... damage.</v>
      </c>
    </row>
    <row r="214">
      <c r="A214" s="1">
        <v>4.0</v>
      </c>
      <c r="B214" s="1" t="s">
        <v>215</v>
      </c>
      <c r="C214" t="str">
        <f>IFERROR(__xludf.DUMMYFUNCTION("GOOGLETRANSLATE(B214, ""fr"", ""en"")"),"happy with my purchase half-season trousers, light and warm enough at a time (not recommended for winter). good performance and makes a pretty feminine silhouette. maybe making for a large size 36 will be a bit short because I measure 1.56 and I find it j"&amp;"ust right in length.")</f>
        <v>happy with my purchase half-season trousers, light and warm enough at a time (not recommended for winter). good performance and makes a pretty feminine silhouette. maybe making for a large size 36 will be a bit short because I measure 1.56 and I find it just right in length.</v>
      </c>
    </row>
    <row r="215">
      <c r="A215" s="1">
        <v>5.0</v>
      </c>
      <c r="B215" s="1" t="s">
        <v>216</v>
      </c>
      <c r="C215" t="str">
        <f>IFERROR(__xludf.DUMMYFUNCTION("GOOGLETRANSLATE(B215, ""fr"", ""en"")"),"very easy to use, comes with batteries and sector. Provides reliable temperature and good quality product.")</f>
        <v>very easy to use, comes with batteries and sector. Provides reliable temperature and good quality product.</v>
      </c>
    </row>
    <row r="216">
      <c r="A216" s="1">
        <v>5.0</v>
      </c>
      <c r="B216" s="1" t="s">
        <v>217</v>
      </c>
      <c r="C216" t="str">
        <f>IFERROR(__xludf.DUMMYFUNCTION("GOOGLETRANSLATE(B216, ""fr"", ""en"")"),"Printer cartridge ink to print .Conforme the description by the seller")</f>
        <v>Printer cartridge ink to print .Conforme the description by the seller</v>
      </c>
    </row>
    <row r="217">
      <c r="A217" s="1">
        <v>5.0</v>
      </c>
      <c r="B217" s="1" t="s">
        <v>218</v>
      </c>
      <c r="C217" t="str">
        <f>IFERROR(__xludf.DUMMYFUNCTION("GOOGLETRANSLATE(B217, ""fr"", ""en"")"),"Nickel Bought for a quality microphone during my play sessions with friends, this microphone is top. The arm is very provided the microphone itself has a great quality. The volume buttons work well and are also used to switch off the microphone, handy for"&amp;" privacy when connected constantly to the computer.")</f>
        <v>Nickel Bought for a quality microphone during my play sessions with friends, this microphone is top. The arm is very provided the microphone itself has a great quality. The volume buttons work well and are also used to switch off the microphone, handy for privacy when connected constantly to the computer.</v>
      </c>
    </row>
    <row r="218">
      <c r="A218" s="1">
        <v>5.0</v>
      </c>
      <c r="B218" s="1" t="s">
        <v>219</v>
      </c>
      <c r="C218" t="str">
        <f>IFERROR(__xludf.DUMMYFUNCTION("GOOGLETRANSLATE(B218, ""fr"", ""en"")"),"Very nice cut Very nice cut. By cons, it is not leather or not so good")</f>
        <v>Very nice cut Very nice cut. By cons, it is not leather or not so good</v>
      </c>
    </row>
    <row r="219">
      <c r="A219" s="1">
        <v>5.0</v>
      </c>
      <c r="B219" s="1" t="s">
        <v>220</v>
      </c>
      <c r="C219" t="str">
        <f>IFERROR(__xludf.DUMMYFUNCTION("GOOGLETRANSLATE(B219, ""fr"", ""en"")"),"Pleasant bought for a gift and the person is happy, little noise and pleasant relaxation")</f>
        <v>Pleasant bought for a gift and the person is happy, little noise and pleasant relaxation</v>
      </c>
    </row>
    <row r="220">
      <c r="A220" s="1">
        <v>5.0</v>
      </c>
      <c r="B220" s="1" t="s">
        <v>221</v>
      </c>
      <c r="C220" t="str">
        <f>IFERROR(__xludf.DUMMYFUNCTION("GOOGLETRANSLATE(B220, ""fr"", ""en"")"),"RAS Ultra cheap, tells the time correctly. Perfect for the holidays for not killing my beautiful watch at the beach. yay")</f>
        <v>RAS Ultra cheap, tells the time correctly. Perfect for the holidays for not killing my beautiful watch at the beach. yay</v>
      </c>
    </row>
    <row r="221">
      <c r="A221" s="1">
        <v>5.0</v>
      </c>
      <c r="B221" s="1" t="s">
        <v>222</v>
      </c>
      <c r="C221" t="str">
        <f>IFERROR(__xludf.DUMMYFUNCTION("GOOGLETRANSLATE(B221, ""fr"", ""en"")"),"Product top for J hobby uses this bottle heart forLa resinet inclusion and Deco on the creation and Fimo c is quite what I wanted the colors are at the top there for a creative moment I thank you advice")</f>
        <v>Product top for J hobby uses this bottle heart forLa resinet inclusion and Deco on the creation and Fimo c is quite what I wanted the colors are at the top there for a creative moment I thank you advice</v>
      </c>
    </row>
    <row r="222">
      <c r="A222" s="1">
        <v>5.0</v>
      </c>
      <c r="B222" s="1" t="s">
        <v>223</v>
      </c>
      <c r="C222" t="str">
        <f>IFERROR(__xludf.DUMMYFUNCTION("GOOGLETRANSLATE(B222, ""fr"", ""en"")"),"diffuser for essential oils Low Price for lot but I do not think that the oils are really quality extracts as little scent")</f>
        <v>diffuser for essential oils Low Price for lot but I do not think that the oils are really quality extracts as little scent</v>
      </c>
    </row>
    <row r="223">
      <c r="A223" s="1">
        <v>5.0</v>
      </c>
      <c r="B223" s="1" t="s">
        <v>224</v>
      </c>
      <c r="C223" t="str">
        <f>IFERROR(__xludf.DUMMYFUNCTION("GOOGLETRANSLATE(B223, ""fr"", ""en"")"),"perfect perfect")</f>
        <v>perfect perfect</v>
      </c>
    </row>
    <row r="224">
      <c r="A224" s="1">
        <v>5.0</v>
      </c>
      <c r="B224" s="1" t="s">
        <v>225</v>
      </c>
      <c r="C224" t="str">
        <f>IFERROR(__xludf.DUMMYFUNCTION("GOOGLETRANSLATE(B224, ""fr"", ""en"")"),"They are perfect even prettier in person than in the picture. They carve well and are comfortable. The material above is dirty too quickly.")</f>
        <v>They are perfect even prettier in person than in the picture. They carve well and are comfortable. The material above is dirty too quickly.</v>
      </c>
    </row>
    <row r="225">
      <c r="A225" s="1">
        <v>5.0</v>
      </c>
      <c r="B225" s="1" t="s">
        <v>226</v>
      </c>
      <c r="C225" t="str">
        <f>IFERROR(__xludf.DUMMYFUNCTION("GOOGLETRANSLATE(B225, ""fr"", ""en"")"),"Super super practical when you have to move and avoid taking big box of milk! I also use it for the night to have already prepared dosages and gain precious seconds on the preparation of Bibi !! I love the little spout to avoid to put everywhere, especial"&amp;"ly at night when you're not awake!")</f>
        <v>Super super practical when you have to move and avoid taking big box of milk! I also use it for the night to have already prepared dosages and gain precious seconds on the preparation of Bibi !! I love the little spout to avoid to put everywhere, especially at night when you're not awake!</v>
      </c>
    </row>
    <row r="226">
      <c r="A226" s="1">
        <v>5.0</v>
      </c>
      <c r="B226" s="1" t="s">
        <v>227</v>
      </c>
      <c r="C226" t="str">
        <f>IFERROR(__xludf.DUMMYFUNCTION("GOOGLETRANSLATE(B226, ""fr"", ""en"")"),"👍 👍 Magnificent")</f>
        <v>👍 👍 Magnificent</v>
      </c>
    </row>
    <row r="227">
      <c r="A227" s="1">
        <v>5.0</v>
      </c>
      <c r="B227" s="1" t="s">
        <v>228</v>
      </c>
      <c r="C227" t="str">
        <f>IFERROR(__xludf.DUMMYFUNCTION("GOOGLETRANSLATE(B227, ""fr"", ""en"")"),"Satisfied These shoes are very light and well espouse the shape of the foot to see in everyday use")</f>
        <v>Satisfied These shoes are very light and well espouse the shape of the foot to see in everyday use</v>
      </c>
    </row>
    <row r="228">
      <c r="A228" s="1">
        <v>5.0</v>
      </c>
      <c r="B228" s="1" t="s">
        <v>229</v>
      </c>
      <c r="C228" t="str">
        <f>IFERROR(__xludf.DUMMYFUNCTION("GOOGLETRANSLATE(B228, ""fr"", ""en"")"),"My new allies every day. I struggled to get used to foam the early days. Once she took the form of my ears, it was perfect! The sound is really good, the wheel will turn down the sound without having to leave their phone or iPod or other. I was pleasantly"&amp;" surprised to discover that they used hands-free kit with which you can answer and end calls. The magnets avoids nodes. But above the material makes them almost impossible son was tangled. I recommend.")</f>
        <v>My new allies every day. I struggled to get used to foam the early days. Once she took the form of my ears, it was perfect! The sound is really good, the wheel will turn down the sound without having to leave their phone or iPod or other. I was pleasantly surprised to discover that they used hands-free kit with which you can answer and end calls. The magnets avoids nodes. But above the material makes them almost impossible son was tangled. I recommend.</v>
      </c>
    </row>
    <row r="229">
      <c r="A229" s="1">
        <v>5.0</v>
      </c>
      <c r="B229" s="1" t="s">
        <v>230</v>
      </c>
      <c r="C229" t="str">
        <f>IFERROR(__xludf.DUMMYFUNCTION("GOOGLETRANSLATE(B229, ""fr"", ""en"")"),"Perfect ! These teats correspond to those I usually use, we find the number 4 for the fast flow. I am very satisfied with my purchase.")</f>
        <v>Perfect ! These teats correspond to those I usually use, we find the number 4 for the fast flow. I am very satisfied with my purchase.</v>
      </c>
    </row>
    <row r="230">
      <c r="A230" s="1">
        <v>2.0</v>
      </c>
      <c r="B230" s="1" t="s">
        <v>231</v>
      </c>
      <c r="C230" t="str">
        <f>IFERROR(__xludf.DUMMYFUNCTION("GOOGLETRANSLATE(B230, ""fr"", ""en"")"),"No basketball Adidas When signals a brand I would only have this one .. and not something else. ..")</f>
        <v>No basketball Adidas When signals a brand I would only have this one .. and not something else. ..</v>
      </c>
    </row>
    <row r="231">
      <c r="A231" s="1">
        <v>1.0</v>
      </c>
      <c r="B231" s="1" t="s">
        <v>232</v>
      </c>
      <c r="C231" t="str">
        <f>IFERROR(__xludf.DUMMYFUNCTION("GOOGLETRANSLATE(B231, ""fr"", ""en"")"),"Do not worth price are poor quality leather! Damaged after only 3 days with its slide system rape her leather disappointed ..")</f>
        <v>Do not worth price are poor quality leather! Damaged after only 3 days with its slide system rape her leather disappointed ..</v>
      </c>
    </row>
    <row r="232">
      <c r="A232" s="1">
        <v>1.0</v>
      </c>
      <c r="B232" s="1" t="s">
        <v>233</v>
      </c>
      <c r="C232" t="str">
        <f>IFERROR(__xludf.DUMMYFUNCTION("GOOGLETRANSLATE(B232, ""fr"", ""en"")"),"bad quality sound I was completely disappointed with the sound quality for these headphones, there is no basis and parasites in her ....... I did not valid !!!!!")</f>
        <v>bad quality sound I was completely disappointed with the sound quality for these headphones, there is no basis and parasites in her ....... I did not valid !!!!!</v>
      </c>
    </row>
    <row r="233">
      <c r="A233" s="1">
        <v>3.0</v>
      </c>
      <c r="B233" s="1" t="s">
        <v>234</v>
      </c>
      <c r="C233" t="str">
        <f>IFERROR(__xludf.DUMMYFUNCTION("GOOGLETRANSLATE(B233, ""fr"", ""en"")"),"Although small size but good quality Beautiful bracelet. Only flat, small size")</f>
        <v>Although small size but good quality Beautiful bracelet. Only flat, small size</v>
      </c>
    </row>
    <row r="234">
      <c r="A234" s="1">
        <v>4.0</v>
      </c>
      <c r="B234" s="1" t="s">
        <v>235</v>
      </c>
      <c r="C234" t="str">
        <f>IFERROR(__xludf.DUMMYFUNCTION("GOOGLETRANSLATE(B234, ""fr"", ""en"")"),"Very light to try but a little small")</f>
        <v>Very light to try but a little small</v>
      </c>
    </row>
    <row r="235">
      <c r="A235" s="1">
        <v>4.0</v>
      </c>
      <c r="B235" s="1" t="s">
        <v>236</v>
      </c>
      <c r="C235" t="str">
        <f>IFERROR(__xludf.DUMMYFUNCTION("GOOGLETRANSLATE(B235, ""fr"", ""en"")"),"Pleasantly surprised to 7euros Frankly I was not expecting that at all. The sound quality and really well, maintaining cool but good for running is not practical then personally I have never seen earphone wire with practice to run. But really Super listen"&amp;"er")</f>
        <v>Pleasantly surprised to 7euros Frankly I was not expecting that at all. The sound quality and really well, maintaining cool but good for running is not practical then personally I have never seen earphone wire with practice to run. But really Super listener</v>
      </c>
    </row>
    <row r="236">
      <c r="A236" s="1">
        <v>4.0</v>
      </c>
      <c r="B236" s="1" t="s">
        <v>237</v>
      </c>
      <c r="C236" t="str">
        <f>IFERROR(__xludf.DUMMYFUNCTION("GOOGLETRANSLATE(B236, ""fr"", ""en"")"),"Beautiful necklace Very satisfied necklace quite what I expected and more !!! I recommend it to all my ladies ..")</f>
        <v>Beautiful necklace Very satisfied necklace quite what I expected and more !!! I recommend it to all my ladies ..</v>
      </c>
    </row>
    <row r="237">
      <c r="A237" s="1">
        <v>4.0</v>
      </c>
      <c r="B237" s="1" t="s">
        <v>238</v>
      </c>
      <c r="C237" t="str">
        <f>IFERROR(__xludf.DUMMYFUNCTION("GOOGLETRANSLATE(B237, ""fr"", ""en"")"),"perfect for traveling small footprint and does his job.")</f>
        <v>perfect for traveling small footprint and does his job.</v>
      </c>
    </row>
    <row r="238">
      <c r="A238" s="1">
        <v>5.0</v>
      </c>
      <c r="B238" s="1" t="s">
        <v>239</v>
      </c>
      <c r="C238" t="str">
        <f>IFERROR(__xludf.DUMMYFUNCTION("GOOGLETRANSLATE(B238, ""fr"", ""en"")"),"Floor lamp Delivered very quickly with Prime, this lamp is what I was looking at the right price. The height is well suited for use near a sofa, brightness adjustment is significant for a good reading comfort. In addition, consumption is low thanks to LED"&amp;"s. Very happy with my new lamp!")</f>
        <v>Floor lamp Delivered very quickly with Prime, this lamp is what I was looking at the right price. The height is well suited for use near a sofa, brightness adjustment is significant for a good reading comfort. In addition, consumption is low thanks to LEDs. Very happy with my new lamp!</v>
      </c>
    </row>
    <row r="239">
      <c r="A239" s="1">
        <v>5.0</v>
      </c>
      <c r="B239" s="1" t="s">
        <v>240</v>
      </c>
      <c r="C239" t="str">
        <f>IFERROR(__xludf.DUMMYFUNCTION("GOOGLETRANSLATE(B239, ""fr"", ""en"")"),"Command beautiful hoodie impeccable in terms of size and quality .Epais and keeps warm. And thank you for the package. Congratulations to the entire team AMAZON;")</f>
        <v>Command beautiful hoodie impeccable in terms of size and quality .Epais and keeps warm. And thank you for the package. Congratulations to the entire team AMAZON;</v>
      </c>
    </row>
    <row r="240">
      <c r="A240" s="1">
        <v>5.0</v>
      </c>
      <c r="B240" s="1" t="s">
        <v>241</v>
      </c>
      <c r="C240" t="str">
        <f>IFERROR(__xludf.DUMMYFUNCTION("GOOGLETRANSLATE(B240, ""fr"", ""en"")"),"safe values. Great")</f>
        <v>safe values. Great</v>
      </c>
    </row>
    <row r="241">
      <c r="A241" s="1">
        <v>5.0</v>
      </c>
      <c r="B241" s="1" t="s">
        <v>242</v>
      </c>
      <c r="C241" t="str">
        <f>IFERROR(__xludf.DUMMYFUNCTION("GOOGLETRANSLATE(B241, ""fr"", ""en"")"),"Nothing wrong Value / price, especially if one has both a blue card reader and other VITAL card. Whatever the quality of the paper we get dabs a bit on the edges!")</f>
        <v>Nothing wrong Value / price, especially if one has both a blue card reader and other VITAL card. Whatever the quality of the paper we get dabs a bit on the edges!</v>
      </c>
    </row>
    <row r="242">
      <c r="A242" s="1">
        <v>5.0</v>
      </c>
      <c r="B242" s="1" t="s">
        <v>243</v>
      </c>
      <c r="C242" t="str">
        <f>IFERROR(__xludf.DUMMYFUNCTION("GOOGLETRANSLATE(B242, ""fr"", ""en"")"),"Super My son loves the cake is the book jumped for joy upon receipt A real pleasure as the rest of the collection and especially quality for the price. I highly recommend")</f>
        <v>Super My son loves the cake is the book jumped for joy upon receipt A real pleasure as the rest of the collection and especially quality for the price. I highly recommend</v>
      </c>
    </row>
    <row r="243">
      <c r="A243" s="1">
        <v>5.0</v>
      </c>
      <c r="B243" s="1" t="s">
        <v>244</v>
      </c>
      <c r="C243" t="str">
        <f>IFERROR(__xludf.DUMMYFUNCTION("GOOGLETRANSLATE(B243, ""fr"", ""en"")"),"hs hs")</f>
        <v>hs hs</v>
      </c>
    </row>
    <row r="244">
      <c r="A244" s="1">
        <v>5.0</v>
      </c>
      <c r="B244" s="1" t="s">
        <v>245</v>
      </c>
      <c r="C244" t="str">
        <f>IFERROR(__xludf.DUMMYFUNCTION("GOOGLETRANSLATE(B244, ""fr"", ""en"")"),"Super nice shoes nice and light to wear safety")</f>
        <v>Super nice shoes nice and light to wear safety</v>
      </c>
    </row>
    <row r="245">
      <c r="A245" s="1">
        <v>5.0</v>
      </c>
      <c r="B245" s="1" t="s">
        <v>246</v>
      </c>
      <c r="C245" t="str">
        <f>IFERROR(__xludf.DUMMYFUNCTION("GOOGLETRANSLATE(B245, ""fr"", ""en"")"),"Having great many worries back, this mattress is perfect. It relaxes me and I even manage to sleep m above. I recommend")</f>
        <v>Having great many worries back, this mattress is perfect. It relaxes me and I even manage to sleep m above. I recommend</v>
      </c>
    </row>
    <row r="246">
      <c r="A246" s="1">
        <v>5.0</v>
      </c>
      <c r="B246" s="1" t="s">
        <v>247</v>
      </c>
      <c r="C246" t="str">
        <f>IFERROR(__xludf.DUMMYFUNCTION("GOOGLETRANSLATE(B246, ""fr"", ""en"")"),"good good bags bags comply, not fragile (I do not understand the negative comments about it). strong ties and that work well")</f>
        <v>good good bags bags comply, not fragile (I do not understand the negative comments about it). strong ties and that work well</v>
      </c>
    </row>
    <row r="247">
      <c r="A247" s="1">
        <v>5.0</v>
      </c>
      <c r="B247" s="1" t="s">
        <v>248</v>
      </c>
      <c r="C247" t="str">
        <f>IFERROR(__xludf.DUMMYFUNCTION("GOOGLETRANSLATE(B247, ""fr"", ""en"")"),"Super nothing negative to say. these cartridges are just great. How I have thought of it before buying it. Epson is so expensive. YES gift I recommend this pack ... bravo !!!")</f>
        <v>Super nothing negative to say. these cartridges are just great. How I have thought of it before buying it. Epson is so expensive. YES gift I recommend this pack ... bravo !!!</v>
      </c>
    </row>
    <row r="248">
      <c r="A248" s="1">
        <v>5.0</v>
      </c>
      <c r="B248" s="1" t="s">
        <v>249</v>
      </c>
      <c r="C248" t="str">
        <f>IFERROR(__xludf.DUMMYFUNCTION("GOOGLETRANSLATE(B248, ""fr"", ""en"")"),"To open easily, slide the zipper between the thumb and forefinger (do not pull) The quality is good and the thickness is correct and sufficient for my use I use them to store and classify especially electronic components such as resistors ( see photo) I r"&amp;"ecommend")</f>
        <v>To open easily, slide the zipper between the thumb and forefinger (do not pull) The quality is good and the thickness is correct and sufficient for my use I use them to store and classify especially electronic components such as resistors ( see photo) I recommend</v>
      </c>
    </row>
    <row r="249">
      <c r="A249" s="1">
        <v>5.0</v>
      </c>
      <c r="B249" s="1" t="s">
        <v>250</v>
      </c>
      <c r="C249" t="str">
        <f>IFERROR(__xludf.DUMMYFUNCTION("GOOGLETRANSLATE(B249, ""fr"", ""en"")"),"Chausson City This is the best! I put on the 45 so I followed the recommendations and ordered above. Comfortable as ever. I feel already be doing me in later life. But they are excellent for walking.")</f>
        <v>Chausson City This is the best! I put on the 45 so I followed the recommendations and ordered above. Comfortable as ever. I feel already be doing me in later life. But they are excellent for walking.</v>
      </c>
    </row>
    <row r="250">
      <c r="A250" s="1">
        <v>5.0</v>
      </c>
      <c r="B250" s="1" t="s">
        <v>251</v>
      </c>
      <c r="C250" t="str">
        <f>IFERROR(__xludf.DUMMYFUNCTION("GOOGLETRANSLATE(B250, ""fr"", ""en"")"),"quality earphones quality wireless. They are stylish design. The cargo box is very beautiful and the materials are of quality. The headphones perform their role, music and phone calls are very good. We can answer or hang from the headphones. Similarly, it"&amp;" is possible to manage music from the headphones. Equally important, the headphones tight fit in the ears. pads of various sizes come with headphones, which makes finding an appropriate size to his ears. In short, well finished, nice and very convenient.")</f>
        <v>quality earphones quality wireless. They are stylish design. The cargo box is very beautiful and the materials are of quality. The headphones perform their role, music and phone calls are very good. We can answer or hang from the headphones. Similarly, it is possible to manage music from the headphones. Equally important, the headphones tight fit in the ears. pads of various sizes come with headphones, which makes finding an appropriate size to his ears. In short, well finished, nice and very convenient.</v>
      </c>
    </row>
    <row r="251">
      <c r="A251" s="1">
        <v>5.0</v>
      </c>
      <c r="B251" s="1" t="s">
        <v>252</v>
      </c>
      <c r="C251" t="str">
        <f>IFERROR(__xludf.DUMMYFUNCTION("GOOGLETRANSLATE(B251, ""fr"", ""en"")"),"I'm glad the 37 usual size. Fast delivery nothing to say. The basketball and like the picture")</f>
        <v>I'm glad the 37 usual size. Fast delivery nothing to say. The basketball and like the picture</v>
      </c>
    </row>
    <row r="252">
      <c r="A252" s="1">
        <v>5.0</v>
      </c>
      <c r="B252" s="1" t="s">
        <v>253</v>
      </c>
      <c r="C252" t="str">
        <f>IFERROR(__xludf.DUMMYFUNCTION("GOOGLETRANSLATE(B252, ""fr"", ""en"")"),"Epatant Epatant for a disabled person who can now walk in a more assured manner.")</f>
        <v>Epatant Epatant for a disabled person who can now walk in a more assured manner.</v>
      </c>
    </row>
    <row r="253">
      <c r="A253" s="1">
        <v>2.0</v>
      </c>
      <c r="B253" s="1" t="s">
        <v>254</v>
      </c>
      <c r="C253" t="str">
        <f>IFERROR(__xludf.DUMMYFUNCTION("GOOGLETRANSLATE(B253, ""fr"", ""en"")"),"Comfort A little disappointed by the size")</f>
        <v>Comfort A little disappointed by the size</v>
      </c>
    </row>
    <row r="254">
      <c r="A254" s="1">
        <v>1.0</v>
      </c>
      <c r="B254" s="1" t="s">
        <v>255</v>
      </c>
      <c r="C254" t="str">
        <f>IFERROR(__xludf.DUMMYFUNCTION("GOOGLETRANSLATE(B254, ""fr"", ""en"")"),"Attention scam I have ordered 4 pairs received only a pair of socks and bath s has nothing to do with the pictures of the product as rigid sole attention not on the bad experience with this merchant phototrès")</f>
        <v>Attention scam I have ordered 4 pairs received only a pair of socks and bath s has nothing to do with the pictures of the product as rigid sole attention not on the bad experience with this merchant phototrès</v>
      </c>
    </row>
    <row r="255">
      <c r="A255" s="1">
        <v>3.0</v>
      </c>
      <c r="B255" s="1" t="s">
        <v>256</v>
      </c>
      <c r="C255" t="str">
        <f>IFERROR(__xludf.DUMMYFUNCTION("GOOGLETRANSLATE(B255, ""fr"", ""en"")"),"Beautiful watch It reminds me watch my mother's child. So I bought it. I previously had another casio with plastic bracelet that irritated me. No problem with this one. Too bad the backlight is not present. Difficult to see in the morning in the winter. E"&amp;"specially when one has been accustomed by another Casio. The digital screen is too small and I'm using that for the date.")</f>
        <v>Beautiful watch It reminds me watch my mother's child. So I bought it. I previously had another casio with plastic bracelet that irritated me. No problem with this one. Too bad the backlight is not present. Difficult to see in the morning in the winter. Especially when one has been accustomed by another Casio. The digital screen is too small and I'm using that for the date.</v>
      </c>
    </row>
    <row r="256">
      <c r="A256" s="1">
        <v>3.0</v>
      </c>
      <c r="B256" s="1" t="s">
        <v>257</v>
      </c>
      <c r="C256" t="str">
        <f>IFERROR(__xludf.DUMMYFUNCTION("GOOGLETRANSLATE(B256, ""fr"", ""en"")"),"Quite small size provide half size up .. Resistant year")</f>
        <v>Quite small size provide half size up .. Resistant year</v>
      </c>
    </row>
    <row r="257">
      <c r="A257" s="1">
        <v>4.0</v>
      </c>
      <c r="B257" s="1" t="s">
        <v>258</v>
      </c>
      <c r="C257" t="str">
        <f>IFERROR(__xludf.DUMMYFUNCTION("GOOGLETRANSLATE(B257, ""fr"", ""en"")"),"Very correct. I bought these headphones to listen to the TV without being bothered by noisy neighbors. Reduction of acceptable noise (except for the dog lol), his very correct stereo (with a 4K Ultra HD TV), it connects easily and quickly. It's just a lit"&amp;"tle big, it would be perfect if we could tighten the helmet. I recommend for big heads or men.")</f>
        <v>Very correct. I bought these headphones to listen to the TV without being bothered by noisy neighbors. Reduction of acceptable noise (except for the dog lol), his very correct stereo (with a 4K Ultra HD TV), it connects easily and quickly. It's just a little big, it would be perfect if we could tighten the helmet. I recommend for big heads or men.</v>
      </c>
    </row>
    <row r="258">
      <c r="A258" s="1">
        <v>4.0</v>
      </c>
      <c r="B258" s="1" t="s">
        <v>259</v>
      </c>
      <c r="C258" t="str">
        <f>IFERROR(__xludf.DUMMYFUNCTION("GOOGLETRANSLATE(B258, ""fr"", ""en"")"),"Although Despite its size a little smaller than expected for the 43 1/3, these hiking boots if really nice outside, I recommend very strongly to the track or flat surfaces because the spikes degrades very quickly")</f>
        <v>Although Despite its size a little smaller than expected for the 43 1/3, these hiking boots if really nice outside, I recommend very strongly to the track or flat surfaces because the spikes degrades very quickly</v>
      </c>
    </row>
    <row r="259">
      <c r="A259" s="1">
        <v>4.0</v>
      </c>
      <c r="B259" s="1" t="s">
        <v>260</v>
      </c>
      <c r="C259" t="str">
        <f>IFERROR(__xludf.DUMMYFUNCTION("GOOGLETRANSLATE(B259, ""fr"", ""en"")"),"Very comfortable and aesthetic rather Footwear 42.5 I did not take any risks by buying this pair 43. The price was good and the shoes are comfortable! I recommend.")</f>
        <v>Very comfortable and aesthetic rather Footwear 42.5 I did not take any risks by buying this pair 43. The price was good and the shoes are comfortable! I recommend.</v>
      </c>
    </row>
    <row r="260">
      <c r="A260" s="1">
        <v>4.0</v>
      </c>
      <c r="B260" s="1" t="s">
        <v>261</v>
      </c>
      <c r="C260" t="str">
        <f>IFERROR(__xludf.DUMMYFUNCTION("GOOGLETRANSLATE(B260, ""fr"", ""en"")"),"good product ca returned too happy with the product, beautiful and con fortable but for the larger size than expected since I put the usual 38 while damage")</f>
        <v>good product ca returned too happy with the product, beautiful and con fortable but for the larger size than expected since I put the usual 38 while damage</v>
      </c>
    </row>
    <row r="261">
      <c r="A261" s="1">
        <v>5.0</v>
      </c>
      <c r="B261" s="1" t="s">
        <v>262</v>
      </c>
      <c r="C261" t="str">
        <f>IFERROR(__xludf.DUMMYFUNCTION("GOOGLETRANSLATE(B261, ""fr"", ""en"")"),"According to the product description Super")</f>
        <v>According to the product description Super</v>
      </c>
    </row>
    <row r="262">
      <c r="A262" s="1">
        <v>5.0</v>
      </c>
      <c r="B262" s="1" t="s">
        <v>263</v>
      </c>
      <c r="C262" t="str">
        <f>IFERROR(__xludf.DUMMYFUNCTION("GOOGLETRANSLATE(B262, ""fr"", ""en"")"),"Great! Mules very pleasant both for the home as for sport or went to the pool. Good resistance and comfortable walking!")</f>
        <v>Great! Mules very pleasant both for the home as for sport or went to the pool. Good resistance and comfortable walking!</v>
      </c>
    </row>
    <row r="263">
      <c r="A263" s="1">
        <v>5.0</v>
      </c>
      <c r="B263" s="1" t="s">
        <v>264</v>
      </c>
      <c r="C263" t="str">
        <f>IFERROR(__xludf.DUMMYFUNCTION("GOOGLETRANSLATE(B263, ""fr"", ""en"")"),"Excellent walking shoes (no hiking) I bought these shoes for my trip to Israel, wanting to take the opportunity to change shoes. I was totally satisfied because doing more than 10km walk early days, these shoes were perfectly comfortable and resistant. I "&amp;"now bears almost daily and the result is just as satisfying. Excellent walking shoes. But these are not hiking shoes course, however.")</f>
        <v>Excellent walking shoes (no hiking) I bought these shoes for my trip to Israel, wanting to take the opportunity to change shoes. I was totally satisfied because doing more than 10km walk early days, these shoes were perfectly comfortable and resistant. I now bears almost daily and the result is just as satisfying. Excellent walking shoes. But these are not hiking shoes course, however.</v>
      </c>
    </row>
    <row r="264">
      <c r="A264" s="1">
        <v>5.0</v>
      </c>
      <c r="B264" s="1" t="s">
        <v>265</v>
      </c>
      <c r="C264" t="str">
        <f>IFERROR(__xludf.DUMMYFUNCTION("GOOGLETRANSLATE(B264, ""fr"", ""en"")"),"Top I bought this mic he came good mic super good quality sound good condition ideal for karaoke worth it for reccomend")</f>
        <v>Top I bought this mic he came good mic super good quality sound good condition ideal for karaoke worth it for reccomend</v>
      </c>
    </row>
    <row r="265">
      <c r="A265" s="1">
        <v>5.0</v>
      </c>
      <c r="B265" s="1" t="s">
        <v>266</v>
      </c>
      <c r="C265" t="str">
        <f>IFERROR(__xludf.DUMMYFUNCTION("GOOGLETRANSLATE(B265, ""fr"", ""en"")"),"Excellent quality Frankly, I do not regret this purchase! Excellent acoustic quality, and really hearing protection (the simple act of putting on the ears: amazing, almost mean nothing around you). I used it when there was a lot of noise around me, and I "&amp;"could not hear anything but the movie I was watching. In addition, the headset is very strong and very wearable")</f>
        <v>Excellent quality Frankly, I do not regret this purchase! Excellent acoustic quality, and really hearing protection (the simple act of putting on the ears: amazing, almost mean nothing around you). I used it when there was a lot of noise around me, and I could not hear anything but the movie I was watching. In addition, the headset is very strong and very wearable</v>
      </c>
    </row>
    <row r="266">
      <c r="A266" s="1">
        <v>5.0</v>
      </c>
      <c r="B266" s="1" t="s">
        <v>267</v>
      </c>
      <c r="C266" t="str">
        <f>IFERROR(__xludf.DUMMYFUNCTION("GOOGLETRANSLATE(B266, ""fr"", ""en"")"),"Great ! Fits the description, no worries")</f>
        <v>Great ! Fits the description, no worries</v>
      </c>
    </row>
    <row r="267">
      <c r="A267" s="1">
        <v>5.0</v>
      </c>
      <c r="B267" s="1" t="s">
        <v>268</v>
      </c>
      <c r="C267" t="str">
        <f>IFERROR(__xludf.DUMMYFUNCTION("GOOGLETRANSLATE(B267, ""fr"", ""en"")"),"Perfect. Perfect.")</f>
        <v>Perfect. Perfect.</v>
      </c>
    </row>
    <row r="268">
      <c r="A268" s="1">
        <v>5.0</v>
      </c>
      <c r="B268" s="1" t="s">
        <v>269</v>
      </c>
      <c r="C268" t="str">
        <f>IFERROR(__xludf.DUMMYFUNCTION("GOOGLETRANSLATE(B268, ""fr"", ""en"")"),"Bluetooth headphones bluetooth headphones grandd quality with good ergonomics. The design is comfortable and does not interfere during Leport. The sound quality is excellent. The functions are classic but functional.")</f>
        <v>Bluetooth headphones bluetooth headphones grandd quality with good ergonomics. The design is comfortable and does not interfere during Leport. The sound quality is excellent. The functions are classic but functional.</v>
      </c>
    </row>
    <row r="269">
      <c r="A269" s="1">
        <v>5.0</v>
      </c>
      <c r="B269" s="1" t="s">
        <v>270</v>
      </c>
      <c r="C269" t="str">
        <f>IFERROR(__xludf.DUMMYFUNCTION("GOOGLETRANSLATE(B269, ""fr"", ""en"")"),"Perfect Very happy! The plastic film adheres well and is easy to use")</f>
        <v>Perfect Very happy! The plastic film adheres well and is easy to use</v>
      </c>
    </row>
    <row r="270">
      <c r="A270" s="1">
        <v>5.0</v>
      </c>
      <c r="B270" s="1" t="s">
        <v>271</v>
      </c>
      <c r="C270" t="str">
        <f>IFERROR(__xludf.DUMMYFUNCTION("GOOGLETRANSLATE(B270, ""fr"", ""en"")"),"Beautiful ear loop My wife loved")</f>
        <v>Beautiful ear loop My wife loved</v>
      </c>
    </row>
    <row r="271">
      <c r="A271" s="1">
        <v>5.0</v>
      </c>
      <c r="B271" s="1" t="s">
        <v>272</v>
      </c>
      <c r="C271" t="str">
        <f>IFERROR(__xludf.DUMMYFUNCTION("GOOGLETRANSLATE(B271, ""fr"", ""en"")"),"Very nice bag good finish. To see in the time but I'm satisfied with my purchase. The iPad Pro comes in so I'm happy. I advise.")</f>
        <v>Very nice bag good finish. To see in the time but I'm satisfied with my purchase. The iPad Pro comes in so I'm happy. I advise.</v>
      </c>
    </row>
    <row r="272">
      <c r="A272" s="1">
        <v>5.0</v>
      </c>
      <c r="B272" s="1" t="s">
        <v>273</v>
      </c>
      <c r="C272" t="str">
        <f>IFERROR(__xludf.DUMMYFUNCTION("GOOGLETRANSLATE(B272, ""fr"", ""en"")"),"as planned I have found the ones I had in years!")</f>
        <v>as planned I have found the ones I had in years!</v>
      </c>
    </row>
    <row r="273">
      <c r="A273" s="1">
        <v>5.0</v>
      </c>
      <c r="B273" s="1" t="s">
        <v>274</v>
      </c>
      <c r="C273" t="str">
        <f>IFERROR(__xludf.DUMMYFUNCTION("GOOGLETRANSLATE(B273, ""fr"", ""en"")"),"Soda Very good value for money. Buy to do my laundry. It performs these functions. A pod is in the box.")</f>
        <v>Soda Very good value for money. Buy to do my laundry. It performs these functions. A pod is in the box.</v>
      </c>
    </row>
    <row r="274">
      <c r="A274" s="1">
        <v>5.0</v>
      </c>
      <c r="B274" s="1" t="s">
        <v>275</v>
      </c>
      <c r="C274" t="str">
        <f>IFERROR(__xludf.DUMMYFUNCTION("GOOGLETRANSLATE(B274, ""fr"", ""en"")"),"My father love it! A perfect gift for my dad, that's chic!")</f>
        <v>My father love it! A perfect gift for my dad, that's chic!</v>
      </c>
    </row>
    <row r="275">
      <c r="A275" s="1">
        <v>5.0</v>
      </c>
      <c r="B275" s="1" t="s">
        <v>276</v>
      </c>
      <c r="C275" t="str">
        <f>IFERROR(__xludf.DUMMYFUNCTION("GOOGLETRANSLATE(B275, ""fr"", ""en"")"),"well flush")</f>
        <v>well flush</v>
      </c>
    </row>
    <row r="276">
      <c r="A276" s="1">
        <v>2.0</v>
      </c>
      <c r="B276" s="1" t="s">
        <v>277</v>
      </c>
      <c r="C276" t="str">
        <f>IFERROR(__xludf.DUMMYFUNCTION("GOOGLETRANSLATE(B276, ""fr"", ""en"")"),"1 microphone already operates more Hello shame equipment used little faith microphone does not work. what should I do ? I refer you? The life is not correct. cordially")</f>
        <v>1 microphone already operates more Hello shame equipment used little faith microphone does not work. what should I do ? I refer you? The life is not correct. cordially</v>
      </c>
    </row>
    <row r="277">
      <c r="A277" s="1">
        <v>1.0</v>
      </c>
      <c r="B277" s="1" t="s">
        <v>278</v>
      </c>
      <c r="C277" t="str">
        <f>IFERROR(__xludf.DUMMYFUNCTION("GOOGLETRANSLATE(B277, ""fr"", ""en"")"),"Too thin thickness of 50 microns is too late! and the zip is not close.")</f>
        <v>Too thin thickness of 50 microns is too late! and the zip is not close.</v>
      </c>
    </row>
    <row r="278">
      <c r="A278" s="1">
        <v>1.0</v>
      </c>
      <c r="B278" s="1" t="s">
        <v>279</v>
      </c>
      <c r="C278" t="str">
        <f>IFERROR(__xludf.DUMMYFUNCTION("GOOGLETRANSLATE(B278, ""fr"", ""en"")"),"Cardigan coat too small rather a vest")</f>
        <v>Cardigan coat too small rather a vest</v>
      </c>
    </row>
    <row r="279">
      <c r="A279" s="1">
        <v>3.0</v>
      </c>
      <c r="B279" s="1" t="s">
        <v>280</v>
      </c>
      <c r="C279" t="str">
        <f>IFERROR(__xludf.DUMMYFUNCTION("GOOGLETRANSLATE(B279, ""fr"", ""en"")"),"end model and pretty but disappointing matter. order arrived quickly, but disappointed by the product, intended as a Christmas gift. The model is nice for a girl, but money gives an impression of stainless ... therefore feel ""cheap"". Gift returned, dama"&amp;"ge ....")</f>
        <v>end model and pretty but disappointing matter. order arrived quickly, but disappointed by the product, intended as a Christmas gift. The model is nice for a girl, but money gives an impression of stainless ... therefore feel "cheap". Gift returned, damage ....</v>
      </c>
    </row>
    <row r="280">
      <c r="A280" s="1">
        <v>4.0</v>
      </c>
      <c r="B280" s="1" t="s">
        <v>281</v>
      </c>
      <c r="C280" t="str">
        <f>IFERROR(__xludf.DUMMYFUNCTION("GOOGLETRANSLATE(B280, ""fr"", ""en"")"),"prodiut good use every day, I walk a lot.")</f>
        <v>prodiut good use every day, I walk a lot.</v>
      </c>
    </row>
    <row r="281">
      <c r="A281" s="1">
        <v>4.0</v>
      </c>
      <c r="B281" s="1" t="s">
        <v>282</v>
      </c>
      <c r="C281" t="str">
        <f>IFERROR(__xludf.DUMMYFUNCTION("GOOGLETRANSLATE(B281, ""fr"", ""en"")"),"Fabrice Good product and great price value. The strap is a bit less flexible than the original pattern")</f>
        <v>Fabrice Good product and great price value. The strap is a bit less flexible than the original pattern</v>
      </c>
    </row>
    <row r="282">
      <c r="A282" s="1">
        <v>4.0</v>
      </c>
      <c r="B282" s="1" t="s">
        <v>283</v>
      </c>
      <c r="C282" t="str">
        <f>IFERROR(__xludf.DUMMYFUNCTION("GOOGLETRANSLATE(B282, ""fr"", ""en"")"),"good product this revival looks good and is very aesthetic; pilot function is very convenient at bedtime and it also lights up when it rings; it is fairly simple to use, it is the first awakening of my 6 year old son and he chose the ""ringing"" of birds "&amp;"to wake up, it is very happy.")</f>
        <v>good product this revival looks good and is very aesthetic; pilot function is very convenient at bedtime and it also lights up when it rings; it is fairly simple to use, it is the first awakening of my 6 year old son and he chose the "ringing" of birds to wake up, it is very happy.</v>
      </c>
    </row>
    <row r="283">
      <c r="A283" s="1">
        <v>4.0</v>
      </c>
      <c r="B283" s="1" t="s">
        <v>284</v>
      </c>
      <c r="C283" t="str">
        <f>IFERROR(__xludf.DUMMYFUNCTION("GOOGLETRANSLATE(B283, ""fr"", ""en"")"),"Good product Good product very attractive The chain length is perfect and beautiful pendant It has many more once offered")</f>
        <v>Good product Good product very attractive The chain length is perfect and beautiful pendant It has many more once offered</v>
      </c>
    </row>
    <row r="284">
      <c r="A284" s="1">
        <v>5.0</v>
      </c>
      <c r="B284" s="1" t="s">
        <v>285</v>
      </c>
      <c r="C284" t="str">
        <f>IFERROR(__xludf.DUMMYFUNCTION("GOOGLETRANSLATE(B284, ""fr"", ""en"")"),"Compliant. Cartridges line with my expectations with the little extra: an envelope to recycle those old cartridges. For this you just need to drag your old cartridges in these envelopes. Shut up and post here ... No stamps, no complications!")</f>
        <v>Compliant. Cartridges line with my expectations with the little extra: an envelope to recycle those old cartridges. For this you just need to drag your old cartridges in these envelopes. Shut up and post here ... No stamps, no complications!</v>
      </c>
    </row>
    <row r="285">
      <c r="A285" s="1">
        <v>5.0</v>
      </c>
      <c r="B285" s="1" t="s">
        <v>286</v>
      </c>
      <c r="C285" t="str">
        <f>IFERROR(__xludf.DUMMYFUNCTION("GOOGLETRANSLATE(B285, ""fr"", ""en"")"),"Comment on my purchase I did not read this book but arrived in good condition, that's exactly what I expected.")</f>
        <v>Comment on my purchase I did not read this book but arrived in good condition, that's exactly what I expected.</v>
      </c>
    </row>
    <row r="286">
      <c r="A286" s="1">
        <v>5.0</v>
      </c>
      <c r="B286" s="1" t="s">
        <v>287</v>
      </c>
      <c r="C286" t="str">
        <f>IFERROR(__xludf.DUMMYFUNCTION("GOOGLETRANSLATE(B286, ""fr"", ""en"")"),"Great show! It is now 4 months that I have this watch and I can tell you that I am absolutely not on! The watch is very nice, super well finished and is rather accurate. Excellent value. Watch higher as a 2ER0001B East for connoisseurs. To buy eyes closed"&amp;".")</f>
        <v>Great show! It is now 4 months that I have this watch and I can tell you that I am absolutely not on! The watch is very nice, super well finished and is rather accurate. Excellent value. Watch higher as a 2ER0001B East for connoisseurs. To buy eyes closed.</v>
      </c>
    </row>
    <row r="287">
      <c r="A287" s="1">
        <v>5.0</v>
      </c>
      <c r="B287" s="1" t="s">
        <v>288</v>
      </c>
      <c r="C287" t="str">
        <f>IFERROR(__xludf.DUMMYFUNCTION("GOOGLETRANSLATE(B287, ""fr"", ""en"")"),"Really good! Good size does not slip! Perfect!!")</f>
        <v>Really good! Good size does not slip! Perfect!!</v>
      </c>
    </row>
    <row r="288">
      <c r="A288" s="1">
        <v>5.0</v>
      </c>
      <c r="B288" s="1" t="s">
        <v>289</v>
      </c>
      <c r="C288" t="str">
        <f>IFERROR(__xludf.DUMMYFUNCTION("GOOGLETRANSLATE(B288, ""fr"", ""en"")"),"Good product A nice pair of shoes size as provided for usually I need time to adapt, blisters, sore feet But then none of these problems they are very comfortable for the quality or time Dams")</f>
        <v>Good product A nice pair of shoes size as provided for usually I need time to adapt, blisters, sore feet But then none of these problems they are very comfortable for the quality or time Dams</v>
      </c>
    </row>
    <row r="289">
      <c r="A289" s="1">
        <v>5.0</v>
      </c>
      <c r="B289" s="1" t="s">
        <v>290</v>
      </c>
      <c r="C289" t="str">
        <f>IFERROR(__xludf.DUMMYFUNCTION("GOOGLETRANSLATE(B289, ""fr"", ""en"")"),"Perfect Very good brushes. With both pallets that's great. It is suitable for any kind of paintings in the consistent descriptions. I recommend them delivered quickly.")</f>
        <v>Perfect Very good brushes. With both pallets that's great. It is suitable for any kind of paintings in the consistent descriptions. I recommend them delivered quickly.</v>
      </c>
    </row>
    <row r="290">
      <c r="A290" s="1">
        <v>5.0</v>
      </c>
      <c r="B290" s="1" t="s">
        <v>291</v>
      </c>
      <c r="C290" t="str">
        <f>IFERROR(__xludf.DUMMYFUNCTION("GOOGLETRANSLATE(B290, ""fr"", ""en"")"),"That life is very short is far from the number of photo-copy described by the manufacturer; Personally I do a lot of copies version ""draft"" and I can not get the quantity set by the manufacturer, while version ""optimal"" I will not tell. cordially")</f>
        <v>That life is very short is far from the number of photo-copy described by the manufacturer; Personally I do a lot of copies version "draft" and I can not get the quantity set by the manufacturer, while version "optimal" I will not tell. cordially</v>
      </c>
    </row>
    <row r="291">
      <c r="A291" s="1">
        <v>5.0</v>
      </c>
      <c r="B291" s="1" t="s">
        <v>292</v>
      </c>
      <c r="C291" t="str">
        <f>IFERROR(__xludf.DUMMYFUNCTION("GOOGLETRANSLATE(B291, ""fr"", ""en"")"),"Top frankly for the price it's a whole bunch of different color, there is a good amount of paint in each pot, it still has not finished a pot despite that we often paint. The painting goes back very well in cleaning the clothes or other attention through "&amp;"against if unfortunately you have put on the wood must be cleaned quickly because the color will sink into matter")</f>
        <v>Top frankly for the price it's a whole bunch of different color, there is a good amount of paint in each pot, it still has not finished a pot despite that we often paint. The painting goes back very well in cleaning the clothes or other attention through against if unfortunately you have put on the wood must be cleaned quickly because the color will sink into matter</v>
      </c>
    </row>
    <row r="292">
      <c r="A292" s="1">
        <v>5.0</v>
      </c>
      <c r="B292" s="1" t="s">
        <v>293</v>
      </c>
      <c r="C292" t="str">
        <f>IFERROR(__xludf.DUMMYFUNCTION("GOOGLETRANSLATE(B292, ""fr"", ""en"")"),"Super nice Vans thank you")</f>
        <v>Super nice Vans thank you</v>
      </c>
    </row>
    <row r="293">
      <c r="A293" s="1">
        <v>5.0</v>
      </c>
      <c r="B293" s="1" t="s">
        <v>294</v>
      </c>
      <c r="C293" t="str">
        <f>IFERROR(__xludf.DUMMYFUNCTION("GOOGLETRANSLATE(B293, ""fr"", ""en"")"),"My good father loves them too. She is super mega solid. It has been already 3 months without any modification.")</f>
        <v>My good father loves them too. She is super mega solid. It has been already 3 months without any modification.</v>
      </c>
    </row>
    <row r="294">
      <c r="A294" s="1">
        <v>5.0</v>
      </c>
      <c r="B294" s="1" t="s">
        <v>295</v>
      </c>
      <c r="C294" t="str">
        <f>IFERROR(__xludf.DUMMYFUNCTION("GOOGLETRANSLATE(B294, ""fr"", ""en"")"),"Very good very good silky reinforcement and washing remains")</f>
        <v>Very good very good silky reinforcement and washing remains</v>
      </c>
    </row>
    <row r="295">
      <c r="A295" s="1">
        <v>5.0</v>
      </c>
      <c r="B295" s="1" t="s">
        <v>296</v>
      </c>
      <c r="C295" t="str">
        <f>IFERROR(__xludf.DUMMYFUNCTION("GOOGLETRANSLATE(B295, ""fr"", ""en"")"),"better than VideoMic Pro Rode more convenient, more accurate, a semi-professional camera at an affordable price")</f>
        <v>better than VideoMic Pro Rode more convenient, more accurate, a semi-professional camera at an affordable price</v>
      </c>
    </row>
    <row r="296">
      <c r="A296" s="1">
        <v>5.0</v>
      </c>
      <c r="B296" s="1" t="s">
        <v>297</v>
      </c>
      <c r="C296" t="str">
        <f>IFERROR(__xludf.DUMMYFUNCTION("GOOGLETRANSLATE(B296, ""fr"", ""en"")"),"well made light Perfect for elderly")</f>
        <v>well made light Perfect for elderly</v>
      </c>
    </row>
    <row r="297">
      <c r="A297" s="1">
        <v>5.0</v>
      </c>
      <c r="B297" s="1" t="s">
        <v>298</v>
      </c>
      <c r="C297" t="str">
        <f>IFERROR(__xludf.DUMMYFUNCTION("GOOGLETRANSLATE(B297, ""fr"", ""en"")"),"Beautiful colors and pigmented pencil Beautiful, beautiful colors, the color of flesh so rare in children pencil boxes. All support side and aquarelable gives them more.")</f>
        <v>Beautiful colors and pigmented pencil Beautiful, beautiful colors, the color of flesh so rare in children pencil boxes. All support side and aquarelable gives them more.</v>
      </c>
    </row>
    <row r="298">
      <c r="A298" s="1">
        <v>5.0</v>
      </c>
      <c r="B298" s="1" t="s">
        <v>299</v>
      </c>
      <c r="C298" t="str">
        <f>IFERROR(__xludf.DUMMYFUNCTION("GOOGLETRANSLATE(B298, ""fr"", ""en"")"),"very elegant great size and sublime rendering. My 12 year old loves. Warning size just taken 36 while she wears jeans size 34. I recommend")</f>
        <v>very elegant great size and sublime rendering. My 12 year old loves. Warning size just taken 36 while she wears jeans size 34. I recommend</v>
      </c>
    </row>
    <row r="299">
      <c r="A299" s="1">
        <v>2.0</v>
      </c>
      <c r="B299" s="1" t="s">
        <v>300</v>
      </c>
      <c r="C299" t="str">
        <f>IFERROR(__xludf.DUMMYFUNCTION("GOOGLETRANSLATE(B299, ""fr"", ""en"")"),"Bracelet imitation leather, demand a real leather strap as in descrip I'm not sure that the bracelet or genuine leather ?? Thank you so much . Request a strap conforms to the sale ie leather")</f>
        <v>Bracelet imitation leather, demand a real leather strap as in descrip I'm not sure that the bracelet or genuine leather ?? Thank you so much . Request a strap conforms to the sale ie leather</v>
      </c>
    </row>
    <row r="300">
      <c r="A300" s="1">
        <v>1.0</v>
      </c>
      <c r="B300" s="1" t="s">
        <v>301</v>
      </c>
      <c r="C300" t="str">
        <f>IFERROR(__xludf.DUMMYFUNCTION("GOOGLETRANSLATE(B300, ""fr"", ""en"")"),"Counterfeiting possible! As I have read in previous reviews, it seems that the shoes that I received are also counterfeit. Flashcodes behind the tabs have been burned in four points (soldering iron I think) and the serial numbers also, more leather qualit"&amp;"y is very plastic / synthetic. Finally the shape of the shoe seems wider than the original Converse. Apart from that, they are pretty well finished, they will hold up walking three times a week? I'm disappointed because even though I was looking for the c"&amp;"heapest price I would not end up with imitations. The removal process seemed too restrictive so I abdicated. It is me repeat in the future.")</f>
        <v>Counterfeiting possible! As I have read in previous reviews, it seems that the shoes that I received are also counterfeit. Flashcodes behind the tabs have been burned in four points (soldering iron I think) and the serial numbers also, more leather quality is very plastic / synthetic. Finally the shape of the shoe seems wider than the original Converse. Apart from that, they are pretty well finished, they will hold up walking three times a week? I'm disappointed because even though I was looking for the cheapest price I would not end up with imitations. The removal process seemed too restrictive so I abdicated. It is me repeat in the future.</v>
      </c>
    </row>
    <row r="301">
      <c r="A301" s="1">
        <v>3.0</v>
      </c>
      <c r="B301" s="1" t="s">
        <v>302</v>
      </c>
      <c r="C301" t="str">
        <f>IFERROR(__xludf.DUMMYFUNCTION("GOOGLETRANSLATE(B301, ""fr"", ""en"")"),"Seems consistent I bought this filter holder to replace the previous, which gave signs of oxidation. Apparently, it is identical to the original. Is the verroullage will hold up? This is the future that will tell.")</f>
        <v>Seems consistent I bought this filter holder to replace the previous, which gave signs of oxidation. Apparently, it is identical to the original. Is the verroullage will hold up? This is the future that will tell.</v>
      </c>
    </row>
    <row r="302">
      <c r="A302" s="1">
        <v>3.0</v>
      </c>
      <c r="B302" s="1" t="s">
        <v>303</v>
      </c>
      <c r="C302" t="str">
        <f>IFERROR(__xludf.DUMMYFUNCTION("GOOGLETRANSLATE(B302, ""fr"", ""en"")"),"Delicate and lightweight Not very good quality")</f>
        <v>Delicate and lightweight Not very good quality</v>
      </c>
    </row>
    <row r="303">
      <c r="A303" s="1">
        <v>4.0</v>
      </c>
      <c r="B303" s="1" t="s">
        <v>304</v>
      </c>
      <c r="C303" t="str">
        <f>IFERROR(__xludf.DUMMYFUNCTION("GOOGLETRANSLATE(B303, ""fr"", ""en"")"),"Good value For now quality product. Hoping that it continues with the passage of time. Anyway excellent value.")</f>
        <v>Good value For now quality product. Hoping that it continues with the passage of time. Anyway excellent value.</v>
      </c>
    </row>
    <row r="304">
      <c r="A304" s="1">
        <v>4.0</v>
      </c>
      <c r="B304" s="1" t="s">
        <v>305</v>
      </c>
      <c r="C304" t="str">
        <f>IFERROR(__xludf.DUMMYFUNCTION("GOOGLETRANSLATE(B304, ""fr"", ""en"")"),"Pink Shoes Getting by has new plastic smell that persists I am satisfied with my purchases. They are very comfortable")</f>
        <v>Pink Shoes Getting by has new plastic smell that persists I am satisfied with my purchases. They are very comfortable</v>
      </c>
    </row>
    <row r="305">
      <c r="A305" s="1">
        <v>4.0</v>
      </c>
      <c r="B305" s="1" t="s">
        <v>306</v>
      </c>
      <c r="C305" t="str">
        <f>IFERROR(__xludf.DUMMYFUNCTION("GOOGLETRANSLATE(B305, ""fr"", ""en"")"),"Helmet for girls I like pink is girly pretty helmet against I think we should handle the bow gently as seems fragile to see the time")</f>
        <v>Helmet for girls I like pink is girly pretty helmet against I think we should handle the bow gently as seems fragile to see the time</v>
      </c>
    </row>
    <row r="306">
      <c r="A306" s="1">
        <v>4.0</v>
      </c>
      <c r="B306" s="1" t="s">
        <v>307</v>
      </c>
      <c r="C306" t="str">
        <f>IFERROR(__xludf.DUMMYFUNCTION("GOOGLETRANSLATE(B306, ""fr"", ""en"")"),"jogging jogging trousers or tea Fruit Loom ordered XL but a little big, take a size below, if not all cotton lint made some I put 4 stars.")</f>
        <v>jogging jogging trousers or tea Fruit Loom ordered XL but a little big, take a size below, if not all cotton lint made some I put 4 stars.</v>
      </c>
    </row>
    <row r="307">
      <c r="A307" s="1">
        <v>4.0</v>
      </c>
      <c r="B307" s="1" t="s">
        <v>308</v>
      </c>
      <c r="C307" t="str">
        <f>IFERROR(__xludf.DUMMYFUNCTION("GOOGLETRANSLATE(B307, ""fr"", ""en"")"),"His top Good but di headphone headband is a headache when worn long (after 45 min train I start to feel)")</f>
        <v>His top Good but di headphone headband is a headache when worn long (after 45 min train I start to feel)</v>
      </c>
    </row>
    <row r="308">
      <c r="A308" s="1">
        <v>5.0</v>
      </c>
      <c r="B308" s="1" t="s">
        <v>309</v>
      </c>
      <c r="C308" t="str">
        <f>IFERROR(__xludf.DUMMYFUNCTION("GOOGLETRANSLATE(B308, ""fr"", ""en"")"),"steal The order arrived super fast. The sandals are perfect to size and with a nice matte finish. I recommend this purchase.")</f>
        <v>steal The order arrived super fast. The sandals are perfect to size and with a nice matte finish. I recommend this purchase.</v>
      </c>
    </row>
    <row r="309">
      <c r="A309" s="1">
        <v>5.0</v>
      </c>
      <c r="B309" s="1" t="s">
        <v>310</v>
      </c>
      <c r="C309" t="str">
        <f>IFERROR(__xludf.DUMMYFUNCTION("GOOGLETRANSLATE(B309, ""fr"", ""en"")"),"ideal for calls A good headset for calls because the voice is clear and the microphone works well. it is easy to pair with any device and can be recharged simply by placing it on the dock and it recharges. Batery lasts about 5-6 hours of continuous use. T"&amp;"he music quality is also good, but as it is only mono, I advise you not to use it to listen to music or watching movies.")</f>
        <v>ideal for calls A good headset for calls because the voice is clear and the microphone works well. it is easy to pair with any device and can be recharged simply by placing it on the dock and it recharges. Batery lasts about 5-6 hours of continuous use. The music quality is also good, but as it is only mono, I advise you not to use it to listen to music or watching movies.</v>
      </c>
    </row>
    <row r="310">
      <c r="A310" s="1">
        <v>5.0</v>
      </c>
      <c r="B310" s="1" t="s">
        <v>311</v>
      </c>
      <c r="C310" t="str">
        <f>IFERROR(__xludf.DUMMYFUNCTION("GOOGLETRANSLATE(B310, ""fr"", ""en"")"),"Okay Perfect")</f>
        <v>Okay Perfect</v>
      </c>
    </row>
    <row r="311">
      <c r="A311" s="1">
        <v>5.0</v>
      </c>
      <c r="B311" s="1" t="s">
        <v>312</v>
      </c>
      <c r="C311" t="str">
        <f>IFERROR(__xludf.DUMMYFUNCTION("GOOGLETRANSLATE(B311, ""fr"", ""en"")"),"Good amount satisfied, pretty good size and I valid")</f>
        <v>Good amount satisfied, pretty good size and I valid</v>
      </c>
    </row>
    <row r="312">
      <c r="A312" s="1">
        <v>5.0</v>
      </c>
      <c r="B312" s="1" t="s">
        <v>313</v>
      </c>
      <c r="C312" t="str">
        <f>IFERROR(__xludf.DUMMYFUNCTION("GOOGLETRANSLATE(B312, ""fr"", ""en"")"),"well for 10 years offered a small scientific, children and very happy parents of this gift that has served this summer")</f>
        <v>well for 10 years offered a small scientific, children and very happy parents of this gift that has served this summer</v>
      </c>
    </row>
    <row r="313">
      <c r="A313" s="1">
        <v>5.0</v>
      </c>
      <c r="B313" s="1" t="s">
        <v>314</v>
      </c>
      <c r="C313" t="str">
        <f>IFERROR(__xludf.DUMMYFUNCTION("GOOGLETRANSLATE(B313, ""fr"", ""en"")"),"Perfect Super product !!!")</f>
        <v>Perfect Super product !!!</v>
      </c>
    </row>
    <row r="314">
      <c r="A314" s="1">
        <v>5.0</v>
      </c>
      <c r="B314" s="1" t="s">
        <v>315</v>
      </c>
      <c r="C314" t="str">
        <f>IFERROR(__xludf.DUMMYFUNCTION("GOOGLETRANSLATE(B314, ""fr"", ""en"")"),"Superb Superb damage some great take one size smaller than you usually put")</f>
        <v>Superb Superb damage some great take one size smaller than you usually put</v>
      </c>
    </row>
    <row r="315">
      <c r="A315" s="1">
        <v>5.0</v>
      </c>
      <c r="B315" s="1" t="s">
        <v>316</v>
      </c>
      <c r="C315" t="str">
        <f>IFERROR(__xludf.DUMMYFUNCTION("GOOGLETRANSLATE(B315, ""fr"", ""en"")"),"..And very cheap sound quality is very good, clear enough with lots of bass. The helmet is closed and can not hear too much outside even with sustained volume. Can deliver more of his that my ears do support ... I will be deaf before saturate ...; o)")</f>
        <v>..And very cheap sound quality is very good, clear enough with lots of bass. The helmet is closed and can not hear too much outside even with sustained volume. Can deliver more of his that my ears do support ... I will be deaf before saturate ...; o)</v>
      </c>
    </row>
    <row r="316">
      <c r="A316" s="1">
        <v>5.0</v>
      </c>
      <c r="B316" s="1" t="s">
        <v>317</v>
      </c>
      <c r="C316" t="str">
        <f>IFERROR(__xludf.DUMMYFUNCTION("GOOGLETRANSLATE(B316, ""fr"", ""en"")"),"Unisex shoes fangs product complies !!! and above all original .. which is not often the case .. anyway I recommend !!!")</f>
        <v>Unisex shoes fangs product complies !!! and above all original .. which is not often the case .. anyway I recommend !!!</v>
      </c>
    </row>
    <row r="317">
      <c r="A317" s="1">
        <v>5.0</v>
      </c>
      <c r="B317" s="1" t="s">
        <v>318</v>
      </c>
      <c r="C317" t="str">
        <f>IFERROR(__xludf.DUMMYFUNCTION("GOOGLETRANSLATE(B317, ""fr"", ""en"")"),"Meets Good product")</f>
        <v>Meets Good product</v>
      </c>
    </row>
    <row r="318">
      <c r="A318" s="1">
        <v>5.0</v>
      </c>
      <c r="B318" s="1" t="s">
        <v>319</v>
      </c>
      <c r="C318" t="str">
        <f>IFERROR(__xludf.DUMMYFUNCTION("GOOGLETRANSLATE(B318, ""fr"", ""en"")"),"Perfect Nothing to say. The tool is very good and more enjoyable than the original strap. No big problem. Really perfect. A facelift for my watch")</f>
        <v>Perfect Nothing to say. The tool is very good and more enjoyable than the original strap. No big problem. Really perfect. A facelift for my watch</v>
      </c>
    </row>
    <row r="319">
      <c r="A319" s="1">
        <v>5.0</v>
      </c>
      <c r="B319" s="1" t="s">
        <v>320</v>
      </c>
      <c r="C319" t="str">
        <f>IFERROR(__xludf.DUMMYFUNCTION("GOOGLETRANSLATE(B319, ""fr"", ""en"")"),"What impeccable as no need to buy shoes 200 € 33,99 more than enough I love")</f>
        <v>What impeccable as no need to buy shoes 200 € 33,99 more than enough I love</v>
      </c>
    </row>
    <row r="320">
      <c r="A320" s="1">
        <v>5.0</v>
      </c>
      <c r="B320" s="1" t="s">
        <v>321</v>
      </c>
      <c r="C320" t="str">
        <f>IFERROR(__xludf.DUMMYFUNCTION("GOOGLETRANSLATE(B320, ""fr"", ""en"")"),"Perfect I have not installed yet because the previous bought earlier this year still works and I said that I use a lot.")</f>
        <v>Perfect I have not installed yet because the previous bought earlier this year still works and I said that I use a lot.</v>
      </c>
    </row>
    <row r="321">
      <c r="A321" s="1">
        <v>5.0</v>
      </c>
      <c r="B321" s="1" t="s">
        <v>322</v>
      </c>
      <c r="C321" t="str">
        <f>IFERROR(__xludf.DUMMYFUNCTION("GOOGLETRANSLATE(B321, ""fr"", ""en"")"),"I recommend Super bottle, I'll buy a second batch")</f>
        <v>I recommend Super bottle, I'll buy a second batch</v>
      </c>
    </row>
    <row r="322">
      <c r="A322" s="1">
        <v>5.0</v>
      </c>
      <c r="B322" s="1" t="s">
        <v>323</v>
      </c>
      <c r="C322" t="str">
        <f>IFERROR(__xludf.DUMMYFUNCTION("GOOGLETRANSLATE(B322, ""fr"", ""en"")"),"Beautiful shoes and comfort shoes guaranteed good quality and very comfortable, good price, I received the product in the desired colors, received quickly, what more, satisfied")</f>
        <v>Beautiful shoes and comfort shoes guaranteed good quality and very comfortable, good price, I received the product in the desired colors, received quickly, what more, satisfied</v>
      </c>
    </row>
    <row r="323">
      <c r="A323" s="1">
        <v>2.0</v>
      </c>
      <c r="B323" s="1" t="s">
        <v>324</v>
      </c>
      <c r="C323" t="str">
        <f>IFERROR(__xludf.DUMMYFUNCTION("GOOGLETRANSLATE(B323, ""fr"", ""en"")"),"Disappointed I already bought a ""Pants Sports Leggings woman sports jogging Gray Capri pants running YOGA, L"" It's great. I wanted to take the same black. On the same line of product, in the same reference, I thought this one was the same in another col"&amp;"or. Mistake ! Even XL is too small, while the L gray suits me very well, and the material is very unpleasant. Very disappointed and no way to contact the seller to know why the two references are different when they are sold on the same designation.")</f>
        <v>Disappointed I already bought a "Pants Sports Leggings woman sports jogging Gray Capri pants running YOGA, L" It's great. I wanted to take the same black. On the same line of product, in the same reference, I thought this one was the same in another color. Mistake ! Even XL is too small, while the L gray suits me very well, and the material is very unpleasant. Very disappointed and no way to contact the seller to know why the two references are different when they are sold on the same designation.</v>
      </c>
    </row>
    <row r="324">
      <c r="A324" s="1">
        <v>1.0</v>
      </c>
      <c r="B324" s="1" t="s">
        <v>325</v>
      </c>
      <c r="C324" t="str">
        <f>IFERROR(__xludf.DUMMYFUNCTION("GOOGLETRANSLATE(B324, ""fr"", ""en"")"),"Wand massager. Since I have received, this unit does not support the load. Once branch flashing a while and then stops without vibrate by pressing the power button stop.")</f>
        <v>Wand massager. Since I have received, this unit does not support the load. Once branch flashing a while and then stops without vibrate by pressing the power button stop.</v>
      </c>
    </row>
    <row r="325">
      <c r="A325" s="1">
        <v>1.0</v>
      </c>
      <c r="B325" s="1" t="s">
        <v>326</v>
      </c>
      <c r="C325" t="str">
        <f>IFERROR(__xludf.DUMMYFUNCTION("GOOGLETRANSLATE(B325, ""fr"", ""en"")"),"Small! The loops are really small, on aphotos they seemed a little larger. They are all really small")</f>
        <v>Small! The loops are really small, on aphotos they seemed a little larger. They are all really small</v>
      </c>
    </row>
    <row r="326">
      <c r="A326" s="1">
        <v>3.0</v>
      </c>
      <c r="B326" s="1" t="s">
        <v>327</v>
      </c>
      <c r="C326" t="str">
        <f>IFERROR(__xludf.DUMMYFUNCTION("GOOGLETRANSLATE(B326, ""fr"", ""en"")"),"It is very good and practical with two brushes, one for bottles and small for teats 5 months since I use it and still as good.")</f>
        <v>It is very good and practical with two brushes, one for bottles and small for teats 5 months since I use it and still as good.</v>
      </c>
    </row>
    <row r="327">
      <c r="A327" s="1">
        <v>3.0</v>
      </c>
      <c r="B327" s="1" t="s">
        <v>328</v>
      </c>
      <c r="C327" t="str">
        <f>IFERROR(__xludf.DUMMYFUNCTION("GOOGLETRANSLATE(B327, ""fr"", ""en"")"),"Once and then leaves Single use sponge nor bad it is a sponge that cleans well and produces lightweight and comfortable to handle")</f>
        <v>Once and then leaves Single use sponge nor bad it is a sponge that cleans well and produces lightweight and comfortable to handle</v>
      </c>
    </row>
    <row r="328">
      <c r="A328" s="1">
        <v>4.0</v>
      </c>
      <c r="B328" s="1" t="s">
        <v>329</v>
      </c>
      <c r="C328" t="str">
        <f>IFERROR(__xludf.DUMMYFUNCTION("GOOGLETRANSLATE(B328, ""fr"", ""en"")"),"Very nice Here is an ideal book to tempt your children to invent and create their own comics. Book purchased for a birthday of a child of 9 years and it really hooked. Sometimes it is necessary that the adult is present to explain a bit but the book is ve"&amp;"ry accessible and progressive. Especially it stimulates their creativity other than always playing the game console :-) In short a very good buy; if you have several children are copying and rainy days the kids will want more.")</f>
        <v>Very nice Here is an ideal book to tempt your children to invent and create their own comics. Book purchased for a birthday of a child of 9 years and it really hooked. Sometimes it is necessary that the adult is present to explain a bit but the book is very accessible and progressive. Especially it stimulates their creativity other than always playing the game console :-) In short a very good buy; if you have several children are copying and rainy days the kids will want more.</v>
      </c>
    </row>
    <row r="329">
      <c r="A329" s="1">
        <v>4.0</v>
      </c>
      <c r="B329" s="1" t="s">
        <v>330</v>
      </c>
      <c r="C329" t="str">
        <f>IFERROR(__xludf.DUMMYFUNCTION("GOOGLETRANSLATE(B329, ""fr"", ""en"")"),"Great value for Practice by its quick drying.")</f>
        <v>Great value for Practice by its quick drying.</v>
      </c>
    </row>
    <row r="330">
      <c r="A330" s="1">
        <v>4.0</v>
      </c>
      <c r="B330" s="1" t="s">
        <v>331</v>
      </c>
      <c r="C330" t="str">
        <f>IFERROR(__xludf.DUMMYFUNCTION("GOOGLETRANSLATE(B330, ""fr"", ""en"")"),"As usual excellent product with pascde converse problem. Right size parfaitement.rien to say that good and quality")</f>
        <v>As usual excellent product with pascde converse problem. Right size parfaitement.rien to say that good and quality</v>
      </c>
    </row>
    <row r="331">
      <c r="A331" s="1">
        <v>4.0</v>
      </c>
      <c r="B331" s="1" t="s">
        <v>332</v>
      </c>
      <c r="C331" t="str">
        <f>IFERROR(__xludf.DUMMYFUNCTION("GOOGLETRANSLATE(B331, ""fr"", ""en"")"),"More than satisfied - Very good pair of shoes that are expected size (I Done 43) .I've taken because it is cheaper and more original than the nike air force one.Avec a vintage style I recommend")</f>
        <v>More than satisfied - Very good pair of shoes that are expected size (I Done 43) .I've taken because it is cheaper and more original than the nike air force one.Avec a vintage style I recommend</v>
      </c>
    </row>
    <row r="332">
      <c r="A332" s="1">
        <v>5.0</v>
      </c>
      <c r="B332" s="1" t="s">
        <v>333</v>
      </c>
      <c r="C332" t="str">
        <f>IFERROR(__xludf.DUMMYFUNCTION("GOOGLETRANSLATE(B332, ""fr"", ""en"")"),"comfortable Top")</f>
        <v>comfortable Top</v>
      </c>
    </row>
    <row r="333">
      <c r="A333" s="1">
        <v>5.0</v>
      </c>
      <c r="B333" s="1" t="s">
        <v>334</v>
      </c>
      <c r="C333" t="str">
        <f>IFERROR(__xludf.DUMMYFUNCTION("GOOGLETRANSLATE(B333, ""fr"", ""en"")"),"Very pretty ! I put on the May 40 I took 40.5 and it's perfect!")</f>
        <v>Very pretty ! I put on the May 40 I took 40.5 and it's perfect!</v>
      </c>
    </row>
    <row r="334">
      <c r="A334" s="1">
        <v>5.0</v>
      </c>
      <c r="B334" s="1" t="s">
        <v>335</v>
      </c>
      <c r="C334" t="str">
        <f>IFERROR(__xludf.DUMMYFUNCTION("GOOGLETRANSLATE(B334, ""fr"", ""en"")"),"basketball glossy black puma super happy with these beautiful shiny black puma sneakers come with two pairs of laces: a classic and another pair of lace ribbon! they are very comfortable, it is very comfortable in, the only concern for me is the size: I t"&amp;"ook a 37 but they are a little larger, a 36.5 would have been enough, but with a sole to inside it's good bonus and faster delivery than expected and top price 29 euros instead of 69 euros!")</f>
        <v>basketball glossy black puma super happy with these beautiful shiny black puma sneakers come with two pairs of laces: a classic and another pair of lace ribbon! they are very comfortable, it is very comfortable in, the only concern for me is the size: I took a 37 but they are a little larger, a 36.5 would have been enough, but with a sole to inside it's good bonus and faster delivery than expected and top price 29 euros instead of 69 euros!</v>
      </c>
    </row>
    <row r="335">
      <c r="A335" s="1">
        <v>5.0</v>
      </c>
      <c r="B335" s="1" t="s">
        <v>336</v>
      </c>
      <c r="C335" t="str">
        <f>IFERROR(__xludf.DUMMYFUNCTION("GOOGLETRANSLATE(B335, ""fr"", ""en"")"),"Great Service Very satisfied with these batteries .....")</f>
        <v>Great Service Very satisfied with these batteries .....</v>
      </c>
    </row>
    <row r="336">
      <c r="A336" s="1">
        <v>5.0</v>
      </c>
      <c r="B336" s="1" t="s">
        <v>337</v>
      </c>
      <c r="C336" t="str">
        <f>IFERROR(__xludf.DUMMYFUNCTION("GOOGLETRANSLATE(B336, ""fr"", ""en"")"),"good price / quality value / price")</f>
        <v>good price / quality value / price</v>
      </c>
    </row>
    <row r="337">
      <c r="A337" s="1">
        <v>5.0</v>
      </c>
      <c r="B337" s="1" t="s">
        <v>338</v>
      </c>
      <c r="C337" t="str">
        <f>IFERROR(__xludf.DUMMYFUNCTION("GOOGLETRANSLATE(B337, ""fr"", ""en"")"),"The Excellent rode VideoMic me excellent sound quality I am very satisfied with this product")</f>
        <v>The Excellent rode VideoMic me excellent sound quality I am very satisfied with this product</v>
      </c>
    </row>
    <row r="338">
      <c r="A338" s="1">
        <v>5.0</v>
      </c>
      <c r="B338" s="1" t="s">
        <v>339</v>
      </c>
      <c r="C338" t="str">
        <f>IFERROR(__xludf.DUMMYFUNCTION("GOOGLETRANSLATE(B338, ""fr"", ""en"")"),"Delighted with this purchase Stunning socks with a nice foot support I highly recommend this product I took three lots for my man and I think I'll take my son also")</f>
        <v>Delighted with this purchase Stunning socks with a nice foot support I highly recommend this product I took three lots for my man and I think I'll take my son also</v>
      </c>
    </row>
    <row r="339">
      <c r="A339" s="1">
        <v>5.0</v>
      </c>
      <c r="B339" s="1" t="s">
        <v>340</v>
      </c>
      <c r="C339" t="str">
        <f>IFERROR(__xludf.DUMMYFUNCTION("GOOGLETRANSLATE(B339, ""fr"", ""en"")"),"Quality watch The black background on display is not very easy to read at first kick but by tilting the watch is good! Appearance very solid, the temperature is correct Once set! precision between 0.2 and 0.5 degrees near !! if the door must take into acc"&amp;"ount the T wrist so subtract degrees for the exact T !! air !! Bracelet very good!")</f>
        <v>Quality watch The black background on display is not very easy to read at first kick but by tilting the watch is good! Appearance very solid, the temperature is correct Once set! precision between 0.2 and 0.5 degrees near !! if the door must take into account the T wrist so subtract degrees for the exact T !! air !! Bracelet very good!</v>
      </c>
    </row>
    <row r="340">
      <c r="A340" s="1">
        <v>5.0</v>
      </c>
      <c r="B340" s="1" t="s">
        <v>341</v>
      </c>
      <c r="C340" t="str">
        <f>IFERROR(__xludf.DUMMYFUNCTION("GOOGLETRANSLATE(B340, ""fr"", ""en"")"),"Nothing to say Easy to clean and assemble, enough to branch égouter several bottles / teats / cap. Think to clean the party or listening to the water not it languishes!")</f>
        <v>Nothing to say Easy to clean and assemble, enough to branch égouter several bottles / teats / cap. Think to clean the party or listening to the water not it languishes!</v>
      </c>
    </row>
    <row r="341">
      <c r="A341" s="1">
        <v>5.0</v>
      </c>
      <c r="B341" s="1" t="s">
        <v>342</v>
      </c>
      <c r="C341" t="str">
        <f>IFERROR(__xludf.DUMMYFUNCTION("GOOGLETRANSLATE(B341, ""fr"", ""en"")"),"Perfect Very good value for money. They are very comfortable and the visual and consistent with the picture. Very satisfied. I recommend.")</f>
        <v>Perfect Very good value for money. They are very comfortable and the visual and consistent with the picture. Very satisfied. I recommend.</v>
      </c>
    </row>
    <row r="342">
      <c r="A342" s="1">
        <v>5.0</v>
      </c>
      <c r="B342" s="1" t="s">
        <v>343</v>
      </c>
      <c r="C342" t="str">
        <f>IFERROR(__xludf.DUMMYFUNCTION("GOOGLETRANSLATE(B342, ""fr"", ""en"")"),"Perfect for baby! My daughter with GERD since birth, she drinks milk AR and I have to add him a thickening (MAGIC MIX) so to get it all in a pacifier I will not tell the story but with no worries these nipples! The mixture goes perfectly and the speed is "&amp;"not too fast nor too slow. She uses it for his 3 months. Beware though because when I happened to forget to put the MAGIC MIX flow was too fast for her (she was 4 months) so I suggest these pacifiers for babies who drink milk AR + thickener otherwise it i"&amp;"s better stay on flow 2. Product received in good condition and the scheduled day.")</f>
        <v>Perfect for baby! My daughter with GERD since birth, she drinks milk AR and I have to add him a thickening (MAGIC MIX) so to get it all in a pacifier I will not tell the story but with no worries these nipples! The mixture goes perfectly and the speed is not too fast nor too slow. She uses it for his 3 months. Beware though because when I happened to forget to put the MAGIC MIX flow was too fast for her (she was 4 months) so I suggest these pacifiers for babies who drink milk AR + thickener otherwise it is better stay on flow 2. Product received in good condition and the scheduled day.</v>
      </c>
    </row>
    <row r="343">
      <c r="A343" s="1">
        <v>5.0</v>
      </c>
      <c r="B343" s="1" t="s">
        <v>344</v>
      </c>
      <c r="C343" t="str">
        <f>IFERROR(__xludf.DUMMYFUNCTION("GOOGLETRANSLATE(B343, ""fr"", ""en"")"),"beautiful I have bought the DVD for my nephew who is 4 years so ever seen, he loved it makes me one now and it's already looking 4 times so that it s like I bought him the lion king 2")</f>
        <v>beautiful I have bought the DVD for my nephew who is 4 years so ever seen, he loved it makes me one now and it's already looking 4 times so that it s like I bought him the lion king 2</v>
      </c>
    </row>
    <row r="344">
      <c r="A344" s="1">
        <v>5.0</v>
      </c>
      <c r="B344" s="1" t="s">
        <v>345</v>
      </c>
      <c r="C344" t="str">
        <f>IFERROR(__xludf.DUMMYFUNCTION("GOOGLETRANSLATE(B344, ""fr"", ""en"")"),"Perfect take one size bigger. Super, we must actually take a size above the usual but good quality item.")</f>
        <v>Perfect take one size bigger. Super, we must actually take a size above the usual but good quality item.</v>
      </c>
    </row>
    <row r="345">
      <c r="A345" s="1">
        <v>5.0</v>
      </c>
      <c r="B345" s="1" t="s">
        <v>346</v>
      </c>
      <c r="C345" t="str">
        <f>IFERROR(__xludf.DUMMYFUNCTION("GOOGLETRANSLATE(B345, ""fr"", ""en"")"),"Super comfortable top. I took my size 42 and they go very well. Real slippers to walk. Very comfortable.")</f>
        <v>Super comfortable top. I took my size 42 and they go very well. Real slippers to walk. Very comfortable.</v>
      </c>
    </row>
    <row r="346">
      <c r="A346" s="1">
        <v>5.0</v>
      </c>
      <c r="B346" s="1" t="s">
        <v>347</v>
      </c>
      <c r="C346" t="str">
        <f>IFERROR(__xludf.DUMMYFUNCTION("GOOGLETRANSLATE(B346, ""fr"", ""en"")"),"Okay lamp and diffuses a pleasant scent")</f>
        <v>Okay lamp and diffuses a pleasant scent</v>
      </c>
    </row>
    <row r="347">
      <c r="A347" s="1">
        <v>2.0</v>
      </c>
      <c r="B347" s="1" t="s">
        <v>348</v>
      </c>
      <c r="C347" t="str">
        <f>IFERROR(__xludf.DUMMYFUNCTION("GOOGLETRANSLATE(B347, ""fr"", ""en"")"),"Elastic poor quality very poor. The trousers eased immediately after a few days and even before having washed. I lose then it's my size")</f>
        <v>Elastic poor quality very poor. The trousers eased immediately after a few days and even before having washed. I lose then it's my size</v>
      </c>
    </row>
    <row r="348">
      <c r="A348" s="1">
        <v>1.0</v>
      </c>
      <c r="B348" s="1" t="s">
        <v>349</v>
      </c>
      <c r="C348" t="str">
        <f>IFERROR(__xludf.DUMMYFUNCTION("GOOGLETRANSLATE(B348, ""fr"", ""en"")"),"Not bad advice Quality")</f>
        <v>Not bad advice Quality</v>
      </c>
    </row>
    <row r="349">
      <c r="A349" s="1">
        <v>1.0</v>
      </c>
      <c r="B349" s="1" t="s">
        <v>350</v>
      </c>
      <c r="C349" t="str">
        <f>IFERROR(__xludf.DUMMYFUNCTION("GOOGLETRANSLATE(B349, ""fr"", ""en"")"),"Disappointed Order March 24 and already disjointed very disappointed .. I thought it was the quality ... How ???")</f>
        <v>Disappointed Order March 24 and already disjointed very disappointed .. I thought it was the quality ... How ???</v>
      </c>
    </row>
    <row r="350">
      <c r="A350" s="1">
        <v>3.0</v>
      </c>
      <c r="B350" s="1" t="s">
        <v>351</v>
      </c>
      <c r="C350" t="str">
        <f>IFERROR(__xludf.DUMMYFUNCTION("GOOGLETRANSLATE(B350, ""fr"", ""en"")"),"Bad size. How to measure? The ring is beautiful but too big :( I have respected the photo explaining how to measure the finger of my man and yet it is not. How ?? I just ask for a return to order re smaller")</f>
        <v>Bad size. How to measure? The ring is beautiful but too big :( I have respected the photo explaining how to measure the finger of my man and yet it is not. How ?? I just ask for a return to order re smaller</v>
      </c>
    </row>
    <row r="351">
      <c r="A351" s="1">
        <v>3.0</v>
      </c>
      <c r="B351" s="1" t="s">
        <v>352</v>
      </c>
      <c r="C351" t="str">
        <f>IFERROR(__xludf.DUMMYFUNCTION("GOOGLETRANSLATE(B351, ""fr"", ""en"")"),"Take discreet sweater size and more. If the quality is not very good but for a night, it makes much effect!")</f>
        <v>Take discreet sweater size and more. If the quality is not very good but for a night, it makes much effect!</v>
      </c>
    </row>
    <row r="352">
      <c r="A352" s="1">
        <v>4.0</v>
      </c>
      <c r="B352" s="1" t="s">
        <v>353</v>
      </c>
      <c r="C352" t="str">
        <f>IFERROR(__xludf.DUMMYFUNCTION("GOOGLETRANSLATE(B352, ""fr"", ""en"")"),"RAS Okay")</f>
        <v>RAS Okay</v>
      </c>
    </row>
    <row r="353">
      <c r="A353" s="1">
        <v>4.0</v>
      </c>
      <c r="B353" s="1" t="s">
        <v>354</v>
      </c>
      <c r="C353" t="str">
        <f>IFERROR(__xludf.DUMMYFUNCTION("GOOGLETRANSLATE(B353, ""fr"", ""en"")"),"Although I liked")</f>
        <v>Although I liked</v>
      </c>
    </row>
    <row r="354">
      <c r="A354" s="1">
        <v>4.0</v>
      </c>
      <c r="B354" s="1" t="s">
        <v>355</v>
      </c>
      <c r="C354" t="str">
        <f>IFERROR(__xludf.DUMMYFUNCTION("GOOGLETRANSLATE(B354, ""fr"", ""en"")"),"Very soft and sporty chic even with a pencil skirt")</f>
        <v>Very soft and sporty chic even with a pencil skirt</v>
      </c>
    </row>
    <row r="355">
      <c r="A355" s="1">
        <v>4.0</v>
      </c>
      <c r="B355" s="1" t="s">
        <v>356</v>
      </c>
      <c r="C355" t="str">
        <f>IFERROR(__xludf.DUMMYFUNCTION("GOOGLETRANSLATE(B355, ""fr"", ""en"")"),"very pretty curls for summer go with everything!")</f>
        <v>very pretty curls for summer go with everything!</v>
      </c>
    </row>
    <row r="356">
      <c r="A356" s="1">
        <v>5.0</v>
      </c>
      <c r="B356" s="1" t="s">
        <v>357</v>
      </c>
      <c r="C356" t="str">
        <f>IFERROR(__xludf.DUMMYFUNCTION("GOOGLETRANSLATE(B356, ""fr"", ""en"")"),"A pretty functional kettle must first read the user manual. the basic information found there. I mention this is that I have read other reviews which obviously had forgotten the French pages 2 specification. No, the wire is not too short, it must be condu"&amp;"cted under the base. Do not let water after use. Do not heat the contents of a cup, but the graduated minimum amount (0.80l). Do not clean your kettle with an abrasive fabric. There is an anti-scale filter to clean regularly after 10 or 15 uses. These are"&amp;" some small details to get the maximum result of this very beautiful facilities.")</f>
        <v>A pretty functional kettle must first read the user manual. the basic information found there. I mention this is that I have read other reviews which obviously had forgotten the French pages 2 specification. No, the wire is not too short, it must be conducted under the base. Do not let water after use. Do not heat the contents of a cup, but the graduated minimum amount (0.80l). Do not clean your kettle with an abrasive fabric. There is an anti-scale filter to clean regularly after 10 or 15 uses. These are some small details to get the maximum result of this very beautiful facilities.</v>
      </c>
    </row>
    <row r="357">
      <c r="A357" s="1">
        <v>5.0</v>
      </c>
      <c r="B357" s="1" t="s">
        <v>358</v>
      </c>
      <c r="C357" t="str">
        <f>IFERROR(__xludf.DUMMYFUNCTION("GOOGLETRANSLATE(B357, ""fr"", ""en"")"),"Finally a book that meets Why Small children encyclopedia raises critical issues for small")</f>
        <v>Finally a book that meets Why Small children encyclopedia raises critical issues for small</v>
      </c>
    </row>
    <row r="358">
      <c r="A358" s="1">
        <v>5.0</v>
      </c>
      <c r="B358" s="1" t="s">
        <v>359</v>
      </c>
      <c r="C358" t="str">
        <f>IFERROR(__xludf.DUMMYFUNCTION("GOOGLETRANSLATE(B358, ""fr"", ""en"")"),"very reliable seller twelve o'clock cables to connect an electric piano to Inbox amp in a quick time")</f>
        <v>very reliable seller twelve o'clock cables to connect an electric piano to Inbox amp in a quick time</v>
      </c>
    </row>
    <row r="359">
      <c r="A359" s="1">
        <v>5.0</v>
      </c>
      <c r="B359" s="1" t="s">
        <v>360</v>
      </c>
      <c r="C359" t="str">
        <f>IFERROR(__xludf.DUMMYFUNCTION("GOOGLETRANSLATE(B359, ""fr"", ""en"")"),"Good small support Good little support that a small effect on my desk at work. do not take place and allows to put his helmet in peace")</f>
        <v>Good small support Good little support that a small effect on my desk at work. do not take place and allows to put his helmet in peace</v>
      </c>
    </row>
    <row r="360">
      <c r="A360" s="1">
        <v>5.0</v>
      </c>
      <c r="B360" s="1" t="s">
        <v>361</v>
      </c>
      <c r="C360" t="str">
        <f>IFERROR(__xludf.DUMMYFUNCTION("GOOGLETRANSLATE(B360, ""fr"", ""en"")"),"Very nice Perfect. They carve fine letting my 37 thick enough sock. In addition they are very pretty. thick sole. Super padded. Génial👍")</f>
        <v>Very nice Perfect. They carve fine letting my 37 thick enough sock. In addition they are very pretty. thick sole. Super padded. Génial👍</v>
      </c>
    </row>
    <row r="361">
      <c r="A361" s="1">
        <v>5.0</v>
      </c>
      <c r="B361" s="1" t="s">
        <v>362</v>
      </c>
      <c r="C361" t="str">
        <f>IFERROR(__xludf.DUMMYFUNCTION("GOOGLETRANSLATE(B361, ""fr"", ""en"")"),"Good quality and price. I just recently acquire these small bluetooth earphone and I must say I'm delighted! They have everything from some headphones found to sometimes more expensive rates. Here is my review after a short test: Advantages: - Touch this "&amp;"on the headphones (some have nasty pimples) - The sound is very nice, it lacks a little low in my (avid bass) - Insulation is good - Weight up to what is on the market - good audio quality during calls. - Battery level indicator with 3 LEDs Disadvantage: "&amp;"- Not applicable for best configure his headphones. - box lid a little steep for the opening. To conclude this is a very good pair of bluetooth earphone which have the merit of not being loved and all that have a good sound and virtually all qualities pre"&amp;"sent in the market, I recommend !!")</f>
        <v>Good quality and price. I just recently acquire these small bluetooth earphone and I must say I'm delighted! They have everything from some headphones found to sometimes more expensive rates. Here is my review after a short test: Advantages: - Touch this on the headphones (some have nasty pimples) - The sound is very nice, it lacks a little low in my (avid bass) - Insulation is good - Weight up to what is on the market - good audio quality during calls. - Battery level indicator with 3 LEDs Disadvantage: - Not applicable for best configure his headphones. - box lid a little steep for the opening. To conclude this is a very good pair of bluetooth earphone which have the merit of not being loved and all that have a good sound and virtually all qualities present in the market, I recommend !!</v>
      </c>
    </row>
    <row r="362">
      <c r="A362" s="1">
        <v>5.0</v>
      </c>
      <c r="B362" s="1" t="s">
        <v>363</v>
      </c>
      <c r="C362" t="str">
        <f>IFERROR(__xludf.DUMMYFUNCTION("GOOGLETRANSLATE(B362, ""fr"", ""en"")"),"Micro Wireless Bluetooth 4.1 Animation Club elders.")</f>
        <v>Micro Wireless Bluetooth 4.1 Animation Club elders.</v>
      </c>
    </row>
    <row r="363">
      <c r="A363" s="1">
        <v>5.0</v>
      </c>
      <c r="B363" s="1" t="s">
        <v>364</v>
      </c>
      <c r="C363" t="str">
        <f>IFERROR(__xludf.DUMMYFUNCTION("GOOGLETRANSLATE(B363, ""fr"", ""en"")"),"perfect no complaints, lightweight comfortable, wearable even all day")</f>
        <v>perfect no complaints, lightweight comfortable, wearable even all day</v>
      </c>
    </row>
    <row r="364">
      <c r="A364" s="1">
        <v>5.0</v>
      </c>
      <c r="B364" s="1" t="s">
        <v>365</v>
      </c>
      <c r="C364" t="str">
        <f>IFERROR(__xludf.DUMMYFUNCTION("GOOGLETRANSLATE(B364, ""fr"", ""en"")"),"vga cable moniteur1.8m good product I recommend those that should change it or bought a new vga cable")</f>
        <v>vga cable moniteur1.8m good product I recommend those that should change it or bought a new vga cable</v>
      </c>
    </row>
    <row r="365">
      <c r="A365" s="1">
        <v>5.0</v>
      </c>
      <c r="B365" s="1" t="s">
        <v>366</v>
      </c>
      <c r="C365" t="str">
        <f>IFERROR(__xludf.DUMMYFUNCTION("GOOGLETRANSLATE(B365, ""fr"", ""en"")"),"Perfect thank you I love to draw and that's exactly what I was missing I was afraid that it will have duplicates in colors but it's not! Big choice! Nothing to say without hesitation order ... very good price is more than reasonable")</f>
        <v>Perfect thank you I love to draw and that's exactly what I was missing I was afraid that it will have duplicates in colors but it's not! Big choice! Nothing to say without hesitation order ... very good price is more than reasonable</v>
      </c>
    </row>
    <row r="366">
      <c r="A366" s="1">
        <v>5.0</v>
      </c>
      <c r="B366" s="1" t="s">
        <v>367</v>
      </c>
      <c r="C366" t="str">
        <f>IFERROR(__xludf.DUMMYFUNCTION("GOOGLETRANSLATE(B366, ""fr"", ""en"")"),"Great product I bought this product in a supermarket the first time, it took a long time, whenever I had more I ordered on Amazon. This body scrub is really great! It smells good, the grains are an excellent size, it makes the skin smooth as silk. I recom"&amp;"mend !")</f>
        <v>Great product I bought this product in a supermarket the first time, it took a long time, whenever I had more I ordered on Amazon. This body scrub is really great! It smells good, the grains are an excellent size, it makes the skin smooth as silk. I recommend !</v>
      </c>
    </row>
    <row r="367">
      <c r="A367" s="1">
        <v>5.0</v>
      </c>
      <c r="B367" s="1" t="s">
        <v>368</v>
      </c>
      <c r="C367" t="str">
        <f>IFERROR(__xludf.DUMMYFUNCTION("GOOGLETRANSLATE(B367, ""fr"", ""en"")"),"Great I love them. They are simple, the pacifier I do not mind my little that is exclusively breastfed from birth (bottles used to dad can give the milk that I previously draws) Reasonable price Pass the dishwasher But better wash by hand anyway Small con"&amp;"venient size for the start (125mL) just Be careful not to let them down, no surprise they break into pieces: /")</f>
        <v>Great I love them. They are simple, the pacifier I do not mind my little that is exclusively breastfed from birth (bottles used to dad can give the milk that I previously draws) Reasonable price Pass the dishwasher But better wash by hand anyway Small convenient size for the start (125mL) just Be careful not to let them down, no surprise they break into pieces: /</v>
      </c>
    </row>
    <row r="368">
      <c r="A368" s="1">
        <v>5.0</v>
      </c>
      <c r="B368" s="1" t="s">
        <v>369</v>
      </c>
      <c r="C368" t="str">
        <f>IFERROR(__xludf.DUMMYFUNCTION("GOOGLETRANSLATE(B368, ""fr"", ""en"")"),"Good product Good product")</f>
        <v>Good product Good product</v>
      </c>
    </row>
    <row r="369">
      <c r="A369" s="1">
        <v>5.0</v>
      </c>
      <c r="B369" s="1" t="s">
        <v>370</v>
      </c>
      <c r="C369" t="str">
        <f>IFERROR(__xludf.DUMMYFUNCTION("GOOGLETRANSLATE(B369, ""fr"", ""en"")"),"Very good comfortable trres")</f>
        <v>Very good comfortable trres</v>
      </c>
    </row>
    <row r="370">
      <c r="A370" s="1">
        <v>5.0</v>
      </c>
      <c r="B370" s="1" t="s">
        <v>371</v>
      </c>
      <c r="C370" t="str">
        <f>IFERROR(__xludf.DUMMYFUNCTION("GOOGLETRANSLATE(B370, ""fr"", ""en"")"),"Just great For a long time I wanted to buy an electric diffuser but I never really wanted model that would please me. When I came across it, and reading the positive reviews, I wanted to test it ... hey well I do not regret one second my purchase! Besides"&amp;" I recommend another soon to offer so it's great. Very easy to use, perfectly diffuse the oils that I put in and it is very enjoyable to watch as the many colors that parade during the broadcast. Really I recommend this product 100%")</f>
        <v>Just great For a long time I wanted to buy an electric diffuser but I never really wanted model that would please me. When I came across it, and reading the positive reviews, I wanted to test it ... hey well I do not regret one second my purchase! Besides I recommend another soon to offer so it's great. Very easy to use, perfectly diffuse the oils that I put in and it is very enjoyable to watch as the many colors that parade during the broadcast. Really I recommend this product 100%</v>
      </c>
    </row>
    <row r="371">
      <c r="A371" s="1">
        <v>5.0</v>
      </c>
      <c r="B371" s="1" t="s">
        <v>372</v>
      </c>
      <c r="C371" t="str">
        <f>IFERROR(__xludf.DUMMYFUNCTION("GOOGLETRANSLATE(B371, ""fr"", ""en"")"),"Very well designed These headphones are wonderful. I can use it when there is noise around and the noise is low. The downstairs is very good. Putting in charge of these helmets is fast and it is possible to know the state of charge of the base to the aid "&amp;"of an indicator. The compacted storage boxes are solid but lightweight, which facilitates simultaneous charging headphones. They do not move when used for running. I recommend a perfect sound quality!")</f>
        <v>Very well designed These headphones are wonderful. I can use it when there is noise around and the noise is low. The downstairs is very good. Putting in charge of these helmets is fast and it is possible to know the state of charge of the base to the aid of an indicator. The compacted storage boxes are solid but lightweight, which facilitates simultaneous charging headphones. They do not move when used for running. I recommend a perfect sound quality!</v>
      </c>
    </row>
    <row r="372">
      <c r="A372" s="1">
        <v>2.0</v>
      </c>
      <c r="B372" s="1" t="s">
        <v>373</v>
      </c>
      <c r="C372" t="str">
        <f>IFERROR(__xludf.DUMMYFUNCTION("GOOGLETRANSLATE(B372, ""fr"", ""en"")"),"Too bad, broken! Hello, I received broken unfortunately the damage had stick look pretty ... So I recommend the product if you're not afraid to receive it in pieces.")</f>
        <v>Too bad, broken! Hello, I received broken unfortunately the damage had stick look pretty ... So I recommend the product if you're not afraid to receive it in pieces.</v>
      </c>
    </row>
    <row r="373">
      <c r="A373" s="1">
        <v>1.0</v>
      </c>
      <c r="B373" s="1" t="s">
        <v>374</v>
      </c>
      <c r="C373" t="str">
        <f>IFERROR(__xludf.DUMMYFUNCTION("GOOGLETRANSLATE(B373, ""fr"", ""en"")"),"D The microphone is not working")</f>
        <v>D The microphone is not working</v>
      </c>
    </row>
    <row r="374">
      <c r="A374" s="1">
        <v>1.0</v>
      </c>
      <c r="B374" s="1" t="s">
        <v>375</v>
      </c>
      <c r="C374" t="str">
        <f>IFERROR(__xludf.DUMMYFUNCTION("GOOGLETRANSLATE(B374, ""fr"", ""en"")"),"renapur No action on maintenance leather sofa.")</f>
        <v>renapur No action on maintenance leather sofa.</v>
      </c>
    </row>
    <row r="375">
      <c r="A375" s="1">
        <v>3.0</v>
      </c>
      <c r="B375" s="1" t="s">
        <v>376</v>
      </c>
      <c r="C375" t="str">
        <f>IFERROR(__xludf.DUMMYFUNCTION("GOOGLETRANSLATE(B375, ""fr"", ""en"")"),"Good but .... The smell puzzles me ... but very nice and undeniable efficiency.")</f>
        <v>Good but .... The smell puzzles me ... but very nice and undeniable efficiency.</v>
      </c>
    </row>
    <row r="376">
      <c r="A376" s="1">
        <v>3.0</v>
      </c>
      <c r="B376" s="1" t="s">
        <v>377</v>
      </c>
      <c r="C376" t="str">
        <f>IFERROR(__xludf.DUMMYFUNCTION("GOOGLETRANSLATE(B376, ""fr"", ""en"")"),"super nice super nice sweater! My teen girl fan Harry is delighted :-) By cons attention to size: very small! I took that M fits him perfectly she usually puts 16!")</f>
        <v>super nice super nice sweater! My teen girl fan Harry is delighted :-) By cons attention to size: very small! I took that M fits him perfectly she usually puts 16!</v>
      </c>
    </row>
    <row r="377">
      <c r="A377" s="1">
        <v>4.0</v>
      </c>
      <c r="B377" s="1" t="s">
        <v>378</v>
      </c>
      <c r="C377" t="str">
        <f>IFERROR(__xludf.DUMMYFUNCTION("GOOGLETRANSLATE(B377, ""fr"", ""en"")"),"PERFECT bag conforms to the announcement")</f>
        <v>PERFECT bag conforms to the announcement</v>
      </c>
    </row>
    <row r="378">
      <c r="A378" s="1">
        <v>4.0</v>
      </c>
      <c r="B378" s="1" t="s">
        <v>379</v>
      </c>
      <c r="C378" t="str">
        <f>IFERROR(__xludf.DUMMYFUNCTION("GOOGLETRANSLATE(B378, ""fr"", ""en"")"),"Convenient Value impeccable price, exactly what I wanted. I recommend.")</f>
        <v>Convenient Value impeccable price, exactly what I wanted. I recommend.</v>
      </c>
    </row>
    <row r="379">
      <c r="A379" s="1">
        <v>4.0</v>
      </c>
      <c r="B379" s="1" t="s">
        <v>380</v>
      </c>
      <c r="C379" t="str">
        <f>IFERROR(__xludf.DUMMYFUNCTION("GOOGLETRANSLATE(B379, ""fr"", ""en"")"),"Earphones official looking, good quality I do not know if these headphones are true, at least it strongly resembles it even if the wire is round while on the headphones provided with the phone wire was flattened. Its the same quality as the original headp"&amp;"hones. I do not know if they will last as long as the original headphones, in any case they are fun to use. nice packaging received with a ""thank you"" inside")</f>
        <v>Earphones official looking, good quality I do not know if these headphones are true, at least it strongly resembles it even if the wire is round while on the headphones provided with the phone wire was flattened. Its the same quality as the original headphones. I do not know if they will last as long as the original headphones, in any case they are fun to use. nice packaging received with a "thank you" inside</v>
      </c>
    </row>
    <row r="380">
      <c r="A380" s="1">
        <v>4.0</v>
      </c>
      <c r="B380" s="1" t="s">
        <v>381</v>
      </c>
      <c r="C380" t="str">
        <f>IFERROR(__xludf.DUMMYFUNCTION("GOOGLETRANSLATE(B380, ""fr"", ""en"")"),"Not bad skin that conform to the description, will not prevent the case when great fall but still protect well ...")</f>
        <v>Not bad skin that conform to the description, will not prevent the case when great fall but still protect well ...</v>
      </c>
    </row>
    <row r="381">
      <c r="A381" s="1">
        <v>5.0</v>
      </c>
      <c r="B381" s="1" t="s">
        <v>382</v>
      </c>
      <c r="C381" t="str">
        <f>IFERROR(__xludf.DUMMYFUNCTION("GOOGLETRANSLATE(B381, ""fr"", ""en"")"),"good pair of headphones! Very good value for money. For the price I was not expecting me to sound as clear. Good balance, bass is not saturated when increasing the volume. These are tiny headphones that are well suited for small ears. The touch button con"&amp;"trol is not too sensitive which is great when you put them in place. the equipment is child's play! And the charge box also serves as an external battery. It is a complete product!")</f>
        <v>good pair of headphones! Very good value for money. For the price I was not expecting me to sound as clear. Good balance, bass is not saturated when increasing the volume. These are tiny headphones that are well suited for small ears. The touch button control is not too sensitive which is great when you put them in place. the equipment is child's play! And the charge box also serves as an external battery. It is a complete product!</v>
      </c>
    </row>
    <row r="382">
      <c r="A382" s="1">
        <v>5.0</v>
      </c>
      <c r="B382" s="1" t="s">
        <v>383</v>
      </c>
      <c r="C382" t="str">
        <f>IFERROR(__xludf.DUMMYFUNCTION("GOOGLETRANSLATE(B382, ""fr"", ""en"")"),"Amazing. The machine is really effective. After its use, not only vinyl is deep cleaned but the sound seems to take on an unprecedented scale. Perhaps this is due to the anti-static liquid. In all cases, product value for money at the top.")</f>
        <v>Amazing. The machine is really effective. After its use, not only vinyl is deep cleaned but the sound seems to take on an unprecedented scale. Perhaps this is due to the anti-static liquid. In all cases, product value for money at the top.</v>
      </c>
    </row>
    <row r="383">
      <c r="A383" s="1">
        <v>5.0</v>
      </c>
      <c r="B383" s="1" t="s">
        <v>384</v>
      </c>
      <c r="C383" t="str">
        <f>IFERROR(__xludf.DUMMYFUNCTION("GOOGLETRANSLATE(B383, ""fr"", ""en"")"),"Nickel! Met my expectations. Practical and solid.")</f>
        <v>Nickel! Met my expectations. Practical and solid.</v>
      </c>
    </row>
    <row r="384">
      <c r="A384" s="1">
        <v>5.0</v>
      </c>
      <c r="B384" s="1" t="s">
        <v>385</v>
      </c>
      <c r="C384" t="str">
        <f>IFERROR(__xludf.DUMMYFUNCTION("GOOGLETRANSLATE(B384, ""fr"", ""en"")"),"Delighted with this purchase My son is delighted with this purchase. Large enough to put his wallet, his laptop, his headphones, a packet of tissues, a pair of keys .... Beefy. nickel finish. As usual with this brand we are never disappointed.")</f>
        <v>Delighted with this purchase My son is delighted with this purchase. Large enough to put his wallet, his laptop, his headphones, a packet of tissues, a pair of keys .... Beefy. nickel finish. As usual with this brand we are never disappointed.</v>
      </c>
    </row>
    <row r="385">
      <c r="A385" s="1">
        <v>5.0</v>
      </c>
      <c r="B385" s="1" t="s">
        <v>386</v>
      </c>
      <c r="C385" t="str">
        <f>IFERROR(__xludf.DUMMYFUNCTION("GOOGLETRANSLATE(B385, ""fr"", ""en"")"),"Fun pen tip that gradually disappears Game nice. I advise to leave the timer to 10 seconds. On 15 course was longer but it removes part of the principle of the game namely the continuity of the previous design draftsman.")</f>
        <v>Fun pen tip that gradually disappears Game nice. I advise to leave the timer to 10 seconds. On 15 course was longer but it removes part of the principle of the game namely the continuity of the previous design draftsman.</v>
      </c>
    </row>
    <row r="386">
      <c r="A386" s="1">
        <v>5.0</v>
      </c>
      <c r="B386" s="1" t="s">
        <v>387</v>
      </c>
      <c r="C386" t="str">
        <f>IFERROR(__xludf.DUMMYFUNCTION("GOOGLETRANSLATE(B386, ""fr"", ""en"")"),"sweatshirt Christmas I enjoyed the nice sweatshirt Christmas celebrations and the product perfectly matches the description and photo.")</f>
        <v>sweatshirt Christmas I enjoyed the nice sweatshirt Christmas celebrations and the product perfectly matches the description and photo.</v>
      </c>
    </row>
    <row r="387">
      <c r="A387" s="1">
        <v>5.0</v>
      </c>
      <c r="B387" s="1" t="s">
        <v>388</v>
      </c>
      <c r="C387" t="str">
        <f>IFERROR(__xludf.DUMMYFUNCTION("GOOGLETRANSLATE(B387, ""fr"", ""en"")"),"good value top, right amount for me, allows me to make savings.")</f>
        <v>good value top, right amount for me, allows me to make savings.</v>
      </c>
    </row>
    <row r="388">
      <c r="A388" s="1">
        <v>5.0</v>
      </c>
      <c r="B388" s="1" t="s">
        <v>389</v>
      </c>
      <c r="C388" t="str">
        <f>IFERROR(__xludf.DUMMYFUNCTION("GOOGLETRANSLATE(B388, ""fr"", ""en"")"),"A well Very good product. Children love immensely.")</f>
        <v>A well Very good product. Children love immensely.</v>
      </c>
    </row>
    <row r="389">
      <c r="A389" s="1">
        <v>5.0</v>
      </c>
      <c r="B389" s="1" t="s">
        <v>390</v>
      </c>
      <c r="C389" t="str">
        <f>IFERROR(__xludf.DUMMYFUNCTION("GOOGLETRANSLATE(B389, ""fr"", ""en"")"),"Very satisfied ! Parcels received quickly. The packaging is sympa.Une screen protector is provided along with charging cable. The setup is pretty simple app with an install on the smartphone. good quality components, pleasing look. Many useful features, y"&amp;"ou can insert a SIM card. The watch recharges fairly quickly, autonomy is satisfactory. The screen quality is good and the colors are nice, I'm not disappointed ...")</f>
        <v>Very satisfied ! Parcels received quickly. The packaging is sympa.Une screen protector is provided along with charging cable. The setup is pretty simple app with an install on the smartphone. good quality components, pleasing look. Many useful features, you can insert a SIM card. The watch recharges fairly quickly, autonomy is satisfactory. The screen quality is good and the colors are nice, I'm not disappointed ...</v>
      </c>
    </row>
    <row r="390">
      <c r="A390" s="1">
        <v>5.0</v>
      </c>
      <c r="B390" s="1" t="s">
        <v>391</v>
      </c>
      <c r="C390" t="str">
        <f>IFERROR(__xludf.DUMMYFUNCTION("GOOGLETRANSLATE(B390, ""fr"", ""en"")"),"Any vendor response con properly register Is Beautiful sneakers seller")</f>
        <v>Any vendor response con properly register Is Beautiful sneakers seller</v>
      </c>
    </row>
    <row r="391">
      <c r="A391" s="1">
        <v>5.0</v>
      </c>
      <c r="B391" s="1" t="s">
        <v>392</v>
      </c>
      <c r="C391" t="str">
        <f>IFERROR(__xludf.DUMMYFUNCTION("GOOGLETRANSLATE(B391, ""fr"", ""en"")"),"Consistent with the description Very comfortable, I recommend!")</f>
        <v>Consistent with the description Very comfortable, I recommend!</v>
      </c>
    </row>
    <row r="392">
      <c r="A392" s="1">
        <v>5.0</v>
      </c>
      <c r="B392" s="1" t="s">
        <v>393</v>
      </c>
      <c r="C392" t="str">
        <f>IFERROR(__xludf.DUMMYFUNCTION("GOOGLETRANSLATE(B392, ""fr"", ""en"")"),"Frankly the top Relaxation guaranteed after a day as a landscaper.")</f>
        <v>Frankly the top Relaxation guaranteed after a day as a landscaper.</v>
      </c>
    </row>
    <row r="393">
      <c r="A393" s="1">
        <v>5.0</v>
      </c>
      <c r="B393" s="1" t="s">
        <v>394</v>
      </c>
      <c r="C393" t="str">
        <f>IFERROR(__xludf.DUMMYFUNCTION("GOOGLETRANSLATE(B393, ""fr"", ""en"")"),"These sleeves are perfect. Good qualities, I am very much served. They do not bend and seem to last long. I highly recommend it.")</f>
        <v>These sleeves are perfect. Good qualities, I am very much served. They do not bend and seem to last long. I highly recommend it.</v>
      </c>
    </row>
    <row r="394">
      <c r="A394" s="1">
        <v>5.0</v>
      </c>
      <c r="B394" s="1" t="s">
        <v>395</v>
      </c>
      <c r="C394" t="str">
        <f>IFERROR(__xludf.DUMMYFUNCTION("GOOGLETRANSLATE(B394, ""fr"", ""en"")"),"Super Excellent product great top in the microwave")</f>
        <v>Super Excellent product great top in the microwave</v>
      </c>
    </row>
    <row r="395">
      <c r="A395" s="1">
        <v>5.0</v>
      </c>
      <c r="B395" s="1" t="s">
        <v>396</v>
      </c>
      <c r="C395" t="str">
        <f>IFERROR(__xludf.DUMMYFUNCTION("GOOGLETRANSLATE(B395, ""fr"", ""en"")"),"very fragrant and perfect hold on the laundry washing")</f>
        <v>very fragrant and perfect hold on the laundry washing</v>
      </c>
    </row>
    <row r="396">
      <c r="A396" s="1">
        <v>2.0</v>
      </c>
      <c r="B396" s="1" t="s">
        <v>397</v>
      </c>
      <c r="C396" t="str">
        <f>IFERROR(__xludf.DUMMYFUNCTION("GOOGLETRANSLATE(B396, ""fr"", ""en"")"),"I have not had the opportunity to test ... Product delivered in due time, but was not working. The device does not lit when it was plugged. Too bad...")</f>
        <v>I have not had the opportunity to test ... Product delivered in due time, but was not working. The device does not lit when it was plugged. Too bad...</v>
      </c>
    </row>
    <row r="397">
      <c r="A397" s="1">
        <v>1.0</v>
      </c>
      <c r="B397" s="1" t="s">
        <v>398</v>
      </c>
      <c r="C397" t="str">
        <f>IFERROR(__xludf.DUMMYFUNCTION("GOOGLETRANSLATE(B397, ""fr"", ""en"")"),"Go get MIDI 14h: this is not the right! Do not work for me (especially the notes are not in their places in Finale) prefer cables M-Audio Prodipe-Uno or which are more expensive ... but working. Well I put a star for the price and robust appearance but it"&amp;"'s good because you can not put zero. The electronics must be ill conceived.")</f>
        <v>Go get MIDI 14h: this is not the right! Do not work for me (especially the notes are not in their places in Finale) prefer cables M-Audio Prodipe-Uno or which are more expensive ... but working. Well I put a star for the price and robust appearance but it's good because you can not put zero. The electronics must be ill conceived.</v>
      </c>
    </row>
    <row r="398">
      <c r="A398" s="1">
        <v>1.0</v>
      </c>
      <c r="B398" s="1" t="s">
        <v>399</v>
      </c>
      <c r="C398" t="str">
        <f>IFERROR(__xludf.DUMMYFUNCTION("GOOGLETRANSLATE(B398, ""fr"", ""en"")"),"very decue not adjust the hour. The timer button not working yet ... it is the first function of a watch. Otherwise ok design.")</f>
        <v>very decue not adjust the hour. The timer button not working yet ... it is the first function of a watch. Otherwise ok design.</v>
      </c>
    </row>
    <row r="399">
      <c r="A399" s="1">
        <v>3.0</v>
      </c>
      <c r="B399" s="1" t="s">
        <v>400</v>
      </c>
      <c r="C399" t="str">
        <f>IFERROR(__xludf.DUMMYFUNCTION("GOOGLETRANSLATE(B399, ""fr"", ""en"")"),"Too big Very big on a wrist. Commissioned for my brother (1'80m and 80kg), we returned because really too big")</f>
        <v>Too big Very big on a wrist. Commissioned for my brother (1'80m and 80kg), we returned because really too big</v>
      </c>
    </row>
    <row r="400">
      <c r="A400" s="1">
        <v>4.0</v>
      </c>
      <c r="B400" s="1" t="s">
        <v>401</v>
      </c>
      <c r="C400" t="str">
        <f>IFERROR(__xludf.DUMMYFUNCTION("GOOGLETRANSLATE(B400, ""fr"", ""en"")"),"Anti collic that works! Use as a gift for my niece, they are very ergonomic. Adjustable speed 3 for 1.2 and the more or less thick milk. 2 tiny bottles of 150 ml for the birth or later for additional water - 2 bottles of 270 ml means for the greedy baby. "&amp;"- 2 large bottles for babies once the course of 12 months drink thicker foods. Anti colic and it works! My baby had colliques so I chose this lot and it suits him very well. The only negative and it does not dismantle into 3 parts. What would be much more"&amp;" convenient to wash.")</f>
        <v>Anti collic that works! Use as a gift for my niece, they are very ergonomic. Adjustable speed 3 for 1.2 and the more or less thick milk. 2 tiny bottles of 150 ml for the birth or later for additional water - 2 bottles of 270 ml means for the greedy baby. - 2 large bottles for babies once the course of 12 months drink thicker foods. Anti colic and it works! My baby had colliques so I chose this lot and it suits him very well. The only negative and it does not dismantle into 3 parts. What would be much more convenient to wash.</v>
      </c>
    </row>
    <row r="401">
      <c r="A401" s="1">
        <v>4.0</v>
      </c>
      <c r="B401" s="1" t="s">
        <v>402</v>
      </c>
      <c r="C401" t="str">
        <f>IFERROR(__xludf.DUMMYFUNCTION("GOOGLETRANSLATE(B401, ""fr"", ""en"")"),"This large size Perfect but take one size smaller because it's big size")</f>
        <v>This large size Perfect but take one size smaller because it's big size</v>
      </c>
    </row>
    <row r="402">
      <c r="A402" s="1">
        <v>4.0</v>
      </c>
      <c r="B402" s="1" t="s">
        <v>403</v>
      </c>
      <c r="C402" t="str">
        <f>IFERROR(__xludf.DUMMYFUNCTION("GOOGLETRANSLATE(B402, ""fr"", ""en"")"),"✔✔ loop right ear, although troubleshoot, report quality nickel prices, it does not oxidize it worth it in against them be careful you are allergic")</f>
        <v>✔✔ loop right ear, although troubleshoot, report quality nickel prices, it does not oxidize it worth it in against them be careful you are allergic</v>
      </c>
    </row>
    <row r="403">
      <c r="A403" s="1">
        <v>4.0</v>
      </c>
      <c r="B403" s="1" t="s">
        <v>404</v>
      </c>
      <c r="C403" t="str">
        <f>IFERROR(__xludf.DUMMYFUNCTION("GOOGLETRANSLATE(B403, ""fr"", ""en"")"),"Not very comfortable in the long run not very comfortable in the long run")</f>
        <v>Not very comfortable in the long run not very comfortable in the long run</v>
      </c>
    </row>
    <row r="404">
      <c r="A404" s="1">
        <v>5.0</v>
      </c>
      <c r="B404" s="1" t="s">
        <v>405</v>
      </c>
      <c r="C404" t="str">
        <f>IFERROR(__xludf.DUMMYFUNCTION("GOOGLETRANSLATE(B404, ""fr"", ""en"")"),"Okay Bought for use in mountain biking this fall season, this dress is very close to the body to keep warm. Quality is good to see over time. For the price, it's hard to do without. I recommend.")</f>
        <v>Okay Bought for use in mountain biking this fall season, this dress is very close to the body to keep warm. Quality is good to see over time. For the price, it's hard to do without. I recommend.</v>
      </c>
    </row>
    <row r="405">
      <c r="A405" s="1">
        <v>5.0</v>
      </c>
      <c r="B405" s="1" t="s">
        <v>406</v>
      </c>
      <c r="C405" t="str">
        <f>IFERROR(__xludf.DUMMYFUNCTION("GOOGLETRANSLATE(B405, ""fr"", ""en"")"),"Perfect Need to add more ventilation to your computer. No worries with connector that connects easy.")</f>
        <v>Perfect Need to add more ventilation to your computer. No worries with connector that connects easy.</v>
      </c>
    </row>
    <row r="406">
      <c r="A406" s="1">
        <v>5.0</v>
      </c>
      <c r="B406" s="1" t="s">
        <v>407</v>
      </c>
      <c r="C406" t="str">
        <f>IFERROR(__xludf.DUMMYFUNCTION("GOOGLETRANSLATE(B406, ""fr"", ""en"")"),"satisfied &lt;div id = ""video-block-R3E92KVS5H09VM"" class = ""a-section-spacing-small in-spacing-top mini video-block""&gt; &lt;/ div&gt; &lt;input type = ""hidden"" name = """" value = ""https://images-eu.ssl-images-amazon.com/images/I/91YukY21CES.mp4"" class = ""vid"&amp;"eo-url""&gt; &lt;input type = ""hidden"" name = """" value = ""https : //images-eu.ssl-images-amazon.com/images/I/91JdxB14XfS.png ""class ="" video-slate-img-url ""&gt; &amp; nbsp; Delivery very fast. Very easy to use, micro speaker with good sound quality is bright, "&amp;"very quickly automatically connects to my laptop via Bluetooth. The product corresponds to my expectations.")</f>
        <v>satisfied &lt;div id = "video-block-R3E92KVS5H09VM" class = "a-section-spacing-small in-spacing-top mini video-block"&gt; &lt;/ div&gt; &lt;input type = "hidden" name = "" value = "https://images-eu.ssl-images-amazon.com/images/I/91YukY21CES.mp4" class = "video-url"&gt; &lt;input type = "hidden" name = "" value = "https : //images-eu.ssl-images-amazon.com/images/I/91JdxB14XfS.png "class =" video-slate-img-url "&gt; &amp; nbsp; Delivery very fast. Very easy to use, micro speaker with good sound quality is bright, very quickly automatically connects to my laptop via Bluetooth. The product corresponds to my expectations.</v>
      </c>
    </row>
    <row r="407">
      <c r="A407" s="1">
        <v>5.0</v>
      </c>
      <c r="B407" s="1" t="s">
        <v>408</v>
      </c>
      <c r="C407" t="str">
        <f>IFERROR(__xludf.DUMMYFUNCTION("GOOGLETRANSLATE(B407, ""fr"", ""en"")"),"Durability Solid, good face, good zip brief bill with everything I needed.")</f>
        <v>Durability Solid, good face, good zip brief bill with everything I needed.</v>
      </c>
    </row>
    <row r="408">
      <c r="A408" s="1">
        <v>5.0</v>
      </c>
      <c r="B408" s="1" t="s">
        <v>409</v>
      </c>
      <c r="C408" t="str">
        <f>IFERROR(__xludf.DUMMYFUNCTION("GOOGLETRANSLATE(B408, ""fr"", ""en"")"),"Good design and fast delivery It is generally good. The delivery is very fast and the product is beyond my expectations.")</f>
        <v>Good design and fast delivery It is generally good. The delivery is very fast and the product is beyond my expectations.</v>
      </c>
    </row>
    <row r="409">
      <c r="A409" s="1">
        <v>5.0</v>
      </c>
      <c r="B409" s="1" t="s">
        <v>410</v>
      </c>
      <c r="C409" t="str">
        <f>IFERROR(__xludf.DUMMYFUNCTION("GOOGLETRANSLATE(B409, ""fr"", ""en"")"),"Very nice product very happy with this product - consistent with the description - good quality - I will order a second well - great gift idea")</f>
        <v>Very nice product very happy with this product - consistent with the description - good quality - I will order a second well - great gift idea</v>
      </c>
    </row>
    <row r="410">
      <c r="A410" s="1">
        <v>5.0</v>
      </c>
      <c r="B410" s="1" t="s">
        <v>411</v>
      </c>
      <c r="C410" t="str">
        <f>IFERROR(__xludf.DUMMYFUNCTION("GOOGLETRANSLATE(B410, ""fr"", ""en"")"),"super EVERYTHING IS VERY GOOD AND I DO NOT SEE WHAT I COULD ADD AS THIS MATCH QUITE THAT I WAITING AND ANY POINT")</f>
        <v>super EVERYTHING IS VERY GOOD AND I DO NOT SEE WHAT I COULD ADD AS THIS MATCH QUITE THAT I WAITING AND ANY POINT</v>
      </c>
    </row>
    <row r="411">
      <c r="A411" s="1">
        <v>5.0</v>
      </c>
      <c r="B411" s="1" t="s">
        <v>412</v>
      </c>
      <c r="C411" t="str">
        <f>IFERROR(__xludf.DUMMYFUNCTION("GOOGLETRANSLATE(B411, ""fr"", ""en"")"),"Anti-colic system developed four plastic bottles box with low flow nipple (1): two 150 mL and two 260 mL plus two teats flow means (2) in stock, a removable brush and a pacifier nipple. Great novelty anti colic system consists of a ventilation tube with h"&amp;"eat sensor embedded in the bottle. The heat sensing strip from blue to pink to 41 ° C. It is essential to wash the bottle immediately after use to prevent the glue dries and milk. A small brush is also provided in order to clean the inside of this small v"&amp;"ent tube. As usual, all components must be sterilized after each use. All sterilization means can be used. A true black point, the font size of the manual! You have to have a good view otherwise provide a magnifying glass! Apart from that, great product.")</f>
        <v>Anti-colic system developed four plastic bottles box with low flow nipple (1): two 150 mL and two 260 mL plus two teats flow means (2) in stock, a removable brush and a pacifier nipple. Great novelty anti colic system consists of a ventilation tube with heat sensor embedded in the bottle. The heat sensing strip from blue to pink to 41 ° C. It is essential to wash the bottle immediately after use to prevent the glue dries and milk. A small brush is also provided in order to clean the inside of this small vent tube. As usual, all components must be sterilized after each use. All sterilization means can be used. A true black point, the font size of the manual! You have to have a good view otherwise provide a magnifying glass! Apart from that, great product.</v>
      </c>
    </row>
    <row r="412">
      <c r="A412" s="1">
        <v>5.0</v>
      </c>
      <c r="B412" s="1" t="s">
        <v>413</v>
      </c>
      <c r="C412" t="str">
        <f>IFERROR(__xludf.DUMMYFUNCTION("GOOGLETRANSLATE(B412, ""fr"", ""en"")"),"Content received purchase")</f>
        <v>Content received purchase</v>
      </c>
    </row>
    <row r="413">
      <c r="A413" s="1">
        <v>5.0</v>
      </c>
      <c r="B413" s="1" t="s">
        <v>414</v>
      </c>
      <c r="C413" t="str">
        <f>IFERROR(__xludf.DUMMYFUNCTION("GOOGLETRANSLATE(B413, ""fr"", ""en"")"),"They are sublime comfortable and beautiful!")</f>
        <v>They are sublime comfortable and beautiful!</v>
      </c>
    </row>
    <row r="414">
      <c r="A414" s="1">
        <v>5.0</v>
      </c>
      <c r="B414" s="1" t="s">
        <v>415</v>
      </c>
      <c r="C414" t="str">
        <f>IFERROR(__xludf.DUMMYFUNCTION("GOOGLETRANSLATE(B414, ""fr"", ""en"")"),"shows absolutely perfect works perfectly well, very moving perfermormant, very good quality, solid perfect aesthetic watch. short I am delighted! I highly recommend")</f>
        <v>shows absolutely perfect works perfectly well, very moving perfermormant, very good quality, solid perfect aesthetic watch. short I am delighted! I highly recommend</v>
      </c>
    </row>
    <row r="415">
      <c r="A415" s="1">
        <v>5.0</v>
      </c>
      <c r="B415" s="1" t="s">
        <v>416</v>
      </c>
      <c r="C415" t="str">
        <f>IFERROR(__xludf.DUMMYFUNCTION("GOOGLETRANSLATE(B415, ""fr"", ""en"")"),"Although Corresponds to what we wanted. appropriate size")</f>
        <v>Although Corresponds to what we wanted. appropriate size</v>
      </c>
    </row>
    <row r="416">
      <c r="A416" s="1">
        <v>5.0</v>
      </c>
      <c r="B416" s="1" t="s">
        <v>417</v>
      </c>
      <c r="C416" t="str">
        <f>IFERROR(__xludf.DUMMYFUNCTION("GOOGLETRANSLATE(B416, ""fr"", ""en"")"),"Nice nice and simple")</f>
        <v>Nice nice and simple</v>
      </c>
    </row>
    <row r="417">
      <c r="A417" s="1">
        <v>5.0</v>
      </c>
      <c r="B417" s="1" t="s">
        <v>418</v>
      </c>
      <c r="C417" t="str">
        <f>IFERROR(__xludf.DUMMYFUNCTION("GOOGLETRANSLATE(B417, ""fr"", ""en"")"),"Top Top level quality for a 40L bin but it is a little expensive but it's just my opinion :)")</f>
        <v>Top Top level quality for a 40L bin but it is a little expensive but it's just my opinion :)</v>
      </c>
    </row>
    <row r="418">
      <c r="A418" s="1">
        <v>5.0</v>
      </c>
      <c r="B418" s="1" t="s">
        <v>419</v>
      </c>
      <c r="C418" t="str">
        <f>IFERROR(__xludf.DUMMYFUNCTION("GOOGLETRANSLATE(B418, ""fr"", ""en"")"),"Quality item Forced to wear compression socks after a fracture and tear of the ankle, these socks are discrete but VERY effective nice color and present, no one can doubt that these are low maintenance I recommend this product at all costs soft top for ef"&amp;"ficiency")</f>
        <v>Quality item Forced to wear compression socks after a fracture and tear of the ankle, these socks are discrete but VERY effective nice color and present, no one can doubt that these are low maintenance I recommend this product at all costs soft top for efficiency</v>
      </c>
    </row>
    <row r="419">
      <c r="A419" s="1">
        <v>2.0</v>
      </c>
      <c r="B419" s="1" t="s">
        <v>420</v>
      </c>
      <c r="C419" t="str">
        <f>IFERROR(__xludf.DUMMYFUNCTION("GOOGLETRANSLATE(B419, ""fr"", ""en"")"),"Disappointed Very pretty very very small loops, but after 2 days of using the money disappears. it's really disappointing")</f>
        <v>Disappointed Very pretty very very small loops, but after 2 days of using the money disappears. it's really disappointing</v>
      </c>
    </row>
    <row r="420">
      <c r="A420" s="1">
        <v>1.0</v>
      </c>
      <c r="B420" s="1" t="s">
        <v>421</v>
      </c>
      <c r="C420" t="str">
        <f>IFERROR(__xludf.DUMMYFUNCTION("GOOGLETRANSLATE(B420, ""fr"", ""en"")"),"No breaking size I expect this model in my size soon")</f>
        <v>No breaking size I expect this model in my size soon</v>
      </c>
    </row>
    <row r="421">
      <c r="A421" s="1">
        <v>3.0</v>
      </c>
      <c r="B421" s="1" t="s">
        <v>422</v>
      </c>
      <c r="C421" t="str">
        <f>IFERROR(__xludf.DUMMYFUNCTION("GOOGLETRANSLATE(B421, ""fr"", ""en"")"),"Beautiful but fragile watch shows in itself is pretty deluded with false buttons, but there is a but. The Brasselet is fragile and the Clasp and all of poor quality, when removing a link, reassembly, the link is twisted like butter at the presentation of "&amp;"the post, and scratches are visible on the Brasselet . The watch does not take the night time, it stops because of not being on the wrist. Too bad, to very nearly there could be 4 or even 5 stars.")</f>
        <v>Beautiful but fragile watch shows in itself is pretty deluded with false buttons, but there is a but. The Brasselet is fragile and the Clasp and all of poor quality, when removing a link, reassembly, the link is twisted like butter at the presentation of the post, and scratches are visible on the Brasselet . The watch does not take the night time, it stops because of not being on the wrist. Too bad, to very nearly there could be 4 or even 5 stars.</v>
      </c>
    </row>
    <row r="422">
      <c r="A422" s="1">
        <v>3.0</v>
      </c>
      <c r="B422" s="1" t="s">
        <v>423</v>
      </c>
      <c r="C422" t="str">
        <f>IFERROR(__xludf.DUMMYFUNCTION("GOOGLETRANSLATE(B422, ""fr"", ""en"")"),"Good product but watch the size, united for dogs Product not bad but small")</f>
        <v>Good product but watch the size, united for dogs Product not bad but small</v>
      </c>
    </row>
    <row r="423">
      <c r="A423" s="1">
        <v>4.0</v>
      </c>
      <c r="B423" s="1" t="s">
        <v>424</v>
      </c>
      <c r="C423" t="str">
        <f>IFERROR(__xludf.DUMMYFUNCTION("GOOGLETRANSLATE(B423, ""fr"", ""en"")"),"Very convenient, but ... This is my second. I had the old model that I used to happily scaling crash that resulted in erratic operation: 80 or 100 only, and I had to turn on its base to achieve find contact, and sometimes complete refusal. I have a very h"&amp;"ard water, and to preserve it I removed the remaining water immediately, and I détartrais white vinegar by boiling, which broke. I understood my mistakes in reading the many user comments. This is much like the previous one. After a few weeks of use it be"&amp;"came noisy with limestone, but I expect a drop in temperature before draining. The beeps are very present, but I was used to. For cons, the big difference is that it does not stop automatically! I have to let her near the base. Everyone has not taken an e"&amp;"asy access or switch. Disappointed this downgrade.")</f>
        <v>Very convenient, but ... This is my second. I had the old model that I used to happily scaling crash that resulted in erratic operation: 80 or 100 only, and I had to turn on its base to achieve find contact, and sometimes complete refusal. I have a very hard water, and to preserve it I removed the remaining water immediately, and I détartrais white vinegar by boiling, which broke. I understood my mistakes in reading the many user comments. This is much like the previous one. After a few weeks of use it became noisy with limestone, but I expect a drop in temperature before draining. The beeps are very present, but I was used to. For cons, the big difference is that it does not stop automatically! I have to let her near the base. Everyone has not taken an easy access or switch. Disappointed this downgrade.</v>
      </c>
    </row>
    <row r="424">
      <c r="A424" s="1">
        <v>4.0</v>
      </c>
      <c r="B424" s="1" t="s">
        <v>425</v>
      </c>
      <c r="C424" t="str">
        <f>IFERROR(__xludf.DUMMYFUNCTION("GOOGLETRANSLATE(B424, ""fr"", ""en"")"),"Very good a time took over after a month of use, the autonomy of single earphone is perfect for transportation and others. The box that allows refills s use all throughout the day. The software interface is a bit complicated to take control early and use "&amp;"only one earphone is a bit temperamental at times. AC output they make great job with a quality / great prices. It lacks an app to refine the settings or view the remaining battery level")</f>
        <v>Very good a time took over after a month of use, the autonomy of single earphone is perfect for transportation and others. The box that allows refills s use all throughout the day. The software interface is a bit complicated to take control early and use only one earphone is a bit temperamental at times. AC output they make great job with a quality / great prices. It lacks an app to refine the settings or view the remaining battery level</v>
      </c>
    </row>
    <row r="425">
      <c r="A425" s="1">
        <v>4.0</v>
      </c>
      <c r="B425" s="1" t="s">
        <v>426</v>
      </c>
      <c r="C425" t="str">
        <f>IFERROR(__xludf.DUMMYFUNCTION("GOOGLETRANSLATE(B425, ""fr"", ""en"")"),"pretty but fragile A good little watch with a good retro look and nice features! But be careful the glass, it scratches easily, considering the price we must not be too demanding. Sealing ok, tested pool! Normally 100m indicated should allow small snorkel"&amp;"ing. She will accompany me on a journey of 3 weeks we'll see what she says.")</f>
        <v>pretty but fragile A good little watch with a good retro look and nice features! But be careful the glass, it scratches easily, considering the price we must not be too demanding. Sealing ok, tested pool! Normally 100m indicated should allow small snorkeling. She will accompany me on a journey of 3 weeks we'll see what she says.</v>
      </c>
    </row>
    <row r="426">
      <c r="A426" s="1">
        <v>4.0</v>
      </c>
      <c r="B426" s="1" t="s">
        <v>427</v>
      </c>
      <c r="C426" t="str">
        <f>IFERROR(__xludf.DUMMYFUNCTION("GOOGLETRANSLATE(B426, ""fr"", ""en"")"),"Better than the original fine Replaces old headphones. Packaging treatment. At the end time.")</f>
        <v>Better than the original fine Replaces old headphones. Packaging treatment. At the end time.</v>
      </c>
    </row>
    <row r="427">
      <c r="A427" s="1">
        <v>5.0</v>
      </c>
      <c r="B427" s="1" t="s">
        <v>428</v>
      </c>
      <c r="C427" t="str">
        <f>IFERROR(__xludf.DUMMYFUNCTION("GOOGLETRANSLATE(B427, ""fr"", ""en"")"),"original idea for a sentimental gift I have bought this box as a surprise to my mom for Christmas. there are plenty of piece to assemble and make with the accessories + d other personnel to add. I have watched a tutorial to see how to do and get ideas. th"&amp;"e idea being to full of memories and pictures amid a surprise (jewelry in my case). remains only a attaquer.les photos are ready. I'm happy")</f>
        <v>original idea for a sentimental gift I have bought this box as a surprise to my mom for Christmas. there are plenty of piece to assemble and make with the accessories + d other personnel to add. I have watched a tutorial to see how to do and get ideas. the idea being to full of memories and pictures amid a surprise (jewelry in my case). remains only a attaquer.les photos are ready. I'm happy</v>
      </c>
    </row>
    <row r="428">
      <c r="A428" s="1">
        <v>5.0</v>
      </c>
      <c r="B428" s="1" t="s">
        <v>429</v>
      </c>
      <c r="C428" t="str">
        <f>IFERROR(__xludf.DUMMYFUNCTION("GOOGLETRANSLATE(B428, ""fr"", ""en"")"),"Satisfied I recommend the product good value")</f>
        <v>Satisfied I recommend the product good value</v>
      </c>
    </row>
    <row r="429">
      <c r="A429" s="1">
        <v>5.0</v>
      </c>
      <c r="B429" s="1" t="s">
        <v>430</v>
      </c>
      <c r="C429" t="str">
        <f>IFERROR(__xludf.DUMMYFUNCTION("GOOGLETRANSLATE(B429, ""fr"", ""en"")"),"Although quality and good as all series of that mark.")</f>
        <v>Although quality and good as all series of that mark.</v>
      </c>
    </row>
    <row r="430">
      <c r="A430" s="1">
        <v>5.0</v>
      </c>
      <c r="B430" s="1" t="s">
        <v>431</v>
      </c>
      <c r="C430" t="str">
        <f>IFERROR(__xludf.DUMMYFUNCTION("GOOGLETRANSLATE(B430, ""fr"", ""en"")"),"Wireless headset for sports Receipt in a small box, the package comprises: - 1 round cover and rigid transport with inside: Headphones Other sizes earmold - 1 Micro-USB cord &amp; gt; USB - 1 additional cord (green and flat wire) Micro-USB / Lightning &amp; gt; U"&amp;"SB headsets are lightweight and eye-ear is very flexible and silicone which makes them very easy to implement. Just the light through the button provided for this purpose on the right atrium (red logo), for the record, the first launch, Buetooth detection"&amp;" is automatic. Just add it to your device via your Bluetooth options (name: MUGO). Otherwise just leave press the power button to trigger the application of apparaige (flashing LED red / blue). There is also on the top two small volume +/- buttons that al"&amp;"so serve as ""previous song / next song."" Also, a press both buttons simultaneously activates Siri on your Apple device, it remains only you talk to him because the headset also Handsfree! The quality is really good for music or videos. The insulation is"&amp;" very good once it was on the ears! Thanks to the IPX7 standard, you can use them in the rain or in full session of perspiration, water does not penetrate inside through a system of nano coating. In summary, the lightness, the wire which does not lose (us"&amp;"eful if sports) and especially the surprising quality ... I am very happy with my purchase!")</f>
        <v>Wireless headset for sports Receipt in a small box, the package comprises: - 1 round cover and rigid transport with inside: Headphones Other sizes earmold - 1 Micro-USB cord &amp; gt; USB - 1 additional cord (green and flat wire) Micro-USB / Lightning &amp; gt; USB headsets are lightweight and eye-ear is very flexible and silicone which makes them very easy to implement. Just the light through the button provided for this purpose on the right atrium (red logo), for the record, the first launch, Buetooth detection is automatic. Just add it to your device via your Bluetooth options (name: MUGO). Otherwise just leave press the power button to trigger the application of apparaige (flashing LED red / blue). There is also on the top two small volume +/- buttons that also serve as "previous song / next song." Also, a press both buttons simultaneously activates Siri on your Apple device, it remains only you talk to him because the headset also Handsfree! The quality is really good for music or videos. The insulation is very good once it was on the ears! Thanks to the IPX7 standard, you can use them in the rain or in full session of perspiration, water does not penetrate inside through a system of nano coating. In summary, the lightness, the wire which does not lose (useful if sports) and especially the surprising quality ... I am very happy with my purchase!</v>
      </c>
    </row>
    <row r="431">
      <c r="A431" s="1">
        <v>5.0</v>
      </c>
      <c r="B431" s="1" t="s">
        <v>432</v>
      </c>
      <c r="C431" t="str">
        <f>IFERROR(__xludf.DUMMYFUNCTION("GOOGLETRANSLATE(B431, ""fr"", ""en"")"),"Awesome! This is the 4th pair that I order for my mother who is elderly and one of her friends. They find these comfortable shoes so she does leave more throughout the year. These shoes are ultra strong and proven both indoors and in the garden. Neverthel"&amp;"ess, it is better to put a little gel insole for comfort. I recommend without hesitation!")</f>
        <v>Awesome! This is the 4th pair that I order for my mother who is elderly and one of her friends. They find these comfortable shoes so she does leave more throughout the year. These shoes are ultra strong and proven both indoors and in the garden. Nevertheless, it is better to put a little gel insole for comfort. I recommend without hesitation!</v>
      </c>
    </row>
    <row r="432">
      <c r="A432" s="1">
        <v>5.0</v>
      </c>
      <c r="B432" s="1" t="s">
        <v>433</v>
      </c>
      <c r="C432" t="str">
        <f>IFERROR(__xludf.DUMMYFUNCTION("GOOGLETRANSLATE(B432, ""fr"", ""en"")"),"Very nice article nice dress that you can wear jewelry without considering the job properly fitted bustier and embellished with buttons and white applications. Sewing and cut treated. I recommend this product.")</f>
        <v>Very nice article nice dress that you can wear jewelry without considering the job properly fitted bustier and embellished with buttons and white applications. Sewing and cut treated. I recommend this product.</v>
      </c>
    </row>
    <row r="433">
      <c r="A433" s="1">
        <v>5.0</v>
      </c>
      <c r="B433" s="1" t="s">
        <v>434</v>
      </c>
      <c r="C433" t="str">
        <f>IFERROR(__xludf.DUMMYFUNCTION("GOOGLETRANSLATE(B433, ""fr"", ""en"")"),"Perfect Dilution paint is flawless. At the same time in respect of the same brand, I did not have too many doubts ...")</f>
        <v>Perfect Dilution paint is flawless. At the same time in respect of the same brand, I did not have too many doubts ...</v>
      </c>
    </row>
    <row r="434">
      <c r="A434" s="1">
        <v>5.0</v>
      </c>
      <c r="B434" s="1" t="s">
        <v>435</v>
      </c>
      <c r="C434" t="str">
        <f>IFERROR(__xludf.DUMMYFUNCTION("GOOGLETRANSLATE(B434, ""fr"", ""en"")"),"Bluetooth earpiece The small cabinet includes: - micro USB cable - small storage case and loading - 3 small silicone tips - the pair of Bluetooth headset - the instructions for using it is a breeze, exit headphones of the box and turn on Bluetooth on your"&amp;" phone (mine is an Asus Zenfone) and you can already start using it. I always use headphones big because at least they do not fall ears and even if the cable snaps, the helmet still on his head. This is the first time for me that I try this kind of listen"&amp;"er and I'm totally hooked! They take well to the ears, much more convenient to carry my big headphones. The sound for me is really great. For nuisance noise, people around me understand nothing. Frankly I completely adheres to these headphones")</f>
        <v>Bluetooth earpiece The small cabinet includes: - micro USB cable - small storage case and loading - 3 small silicone tips - the pair of Bluetooth headset - the instructions for using it is a breeze, exit headphones of the box and turn on Bluetooth on your phone (mine is an Asus Zenfone) and you can already start using it. I always use headphones big because at least they do not fall ears and even if the cable snaps, the helmet still on his head. This is the first time for me that I try this kind of listener and I'm totally hooked! They take well to the ears, much more convenient to carry my big headphones. The sound for me is really great. For nuisance noise, people around me understand nothing. Frankly I completely adheres to these headphones</v>
      </c>
    </row>
    <row r="435">
      <c r="A435" s="1">
        <v>5.0</v>
      </c>
      <c r="B435" s="1" t="s">
        <v>436</v>
      </c>
      <c r="C435" t="str">
        <f>IFERROR(__xludf.DUMMYFUNCTION("GOOGLETRANSLATE(B435, ""fr"", ""en"")"),"Not disappointed !!! Great product, comfortable and good quality, not moving wash, I recommend it")</f>
        <v>Not disappointed !!! Great product, comfortable and good quality, not moving wash, I recommend it</v>
      </c>
    </row>
    <row r="436">
      <c r="A436" s="1">
        <v>5.0</v>
      </c>
      <c r="B436" s="1" t="s">
        <v>437</v>
      </c>
      <c r="C436" t="str">
        <f>IFERROR(__xludf.DUMMYFUNCTION("GOOGLETRANSLATE(B436, ""fr"", ""en"")"),"Very nice I use these for my sessions asics crossfit. First running I buy asics at: they are just the job. The cushioning is very good and they are light. Warning to take half or one size above that which usually carries. I recommend.")</f>
        <v>Very nice I use these for my sessions asics crossfit. First running I buy asics at: they are just the job. The cushioning is very good and they are light. Warning to take half or one size above that which usually carries. I recommend.</v>
      </c>
    </row>
    <row r="437">
      <c r="A437" s="1">
        <v>5.0</v>
      </c>
      <c r="B437" s="1" t="s">
        <v>438</v>
      </c>
      <c r="C437" t="str">
        <f>IFERROR(__xludf.DUMMYFUNCTION("GOOGLETRANSLATE(B437, ""fr"", ""en"")"),"ROLLS ADHESIVES SCOTCH VERY interested NT PIYR PRESS OFFICE USE Price very interesting for the number of good rolls useful when using bcp like me the quality of the tape is good and ideal for the use I am therefore purchase both useful and conclusive: I r"&amp;"ecommend in when the stock will go to the end.")</f>
        <v>ROLLS ADHESIVES SCOTCH VERY interested NT PIYR PRESS OFFICE USE Price very interesting for the number of good rolls useful when using bcp like me the quality of the tape is good and ideal for the use I am therefore purchase both useful and conclusive: I recommend in when the stock will go to the end.</v>
      </c>
    </row>
    <row r="438">
      <c r="A438" s="1">
        <v>5.0</v>
      </c>
      <c r="B438" s="1" t="s">
        <v>439</v>
      </c>
      <c r="C438" t="str">
        <f>IFERROR(__xludf.DUMMYFUNCTION("GOOGLETRANSLATE(B438, ""fr"", ""en"")"),"nickel Super")</f>
        <v>nickel Super</v>
      </c>
    </row>
    <row r="439">
      <c r="A439" s="1">
        <v>5.0</v>
      </c>
      <c r="B439" s="1" t="s">
        <v>440</v>
      </c>
      <c r="C439" t="str">
        <f>IFERROR(__xludf.DUMMYFUNCTION("GOOGLETRANSLATE(B439, ""fr"", ""en"")"),"Product daily As usual it is perfect.")</f>
        <v>Product daily As usual it is perfect.</v>
      </c>
    </row>
    <row r="440">
      <c r="A440" s="1">
        <v>5.0</v>
      </c>
      <c r="B440" s="1" t="s">
        <v>441</v>
      </c>
      <c r="C440" t="str">
        <f>IFERROR(__xludf.DUMMYFUNCTION("GOOGLETRANSLATE(B440, ""fr"", ""en"")"),"Too good .... Purchased and donated to my mother and immediately adopted !! She is delighted, she keeps him warm it is very cautious, I'm sure it will pass a warm winter are on chair or in bed! It is comfortable, soft short on top !!! and a 2nd bought for"&amp;" me: D")</f>
        <v>Too good .... Purchased and donated to my mother and immediately adopted !! She is delighted, she keeps him warm it is very cautious, I'm sure it will pass a warm winter are on chair or in bed! It is comfortable, soft short on top !!! and a 2nd bought for me: D</v>
      </c>
    </row>
    <row r="441">
      <c r="A441" s="1">
        <v>5.0</v>
      </c>
      <c r="B441" s="1" t="s">
        <v>442</v>
      </c>
      <c r="C441" t="str">
        <f>IFERROR(__xludf.DUMMYFUNCTION("GOOGLETRANSLATE(B441, ""fr"", ""en"")"),"Although Very easy to read")</f>
        <v>Although Very easy to read</v>
      </c>
    </row>
    <row r="442">
      <c r="A442" s="1">
        <v>2.0</v>
      </c>
      <c r="B442" s="1" t="s">
        <v>443</v>
      </c>
      <c r="C442" t="str">
        <f>IFERROR(__xludf.DUMMYFUNCTION("GOOGLETRANSLATE(B442, ""fr"", ""en"")"),"Disappointed The size is good but very poor quality, it is taken off in less than 2 months. I absolutely recommend it.")</f>
        <v>Disappointed The size is good but very poor quality, it is taken off in less than 2 months. I absolutely recommend it.</v>
      </c>
    </row>
    <row r="443">
      <c r="A443" s="1">
        <v>1.0</v>
      </c>
      <c r="B443" s="1" t="s">
        <v>444</v>
      </c>
      <c r="C443" t="str">
        <f>IFERROR(__xludf.DUMMYFUNCTION("GOOGLETRANSLATE(B443, ""fr"", ""en"")"),"No Very disappointed! Too late, not pleasant on the skin, poor quality! Too expensive product I do not advise.")</f>
        <v>No Very disappointed! Too late, not pleasant on the skin, poor quality! Too expensive product I do not advise.</v>
      </c>
    </row>
    <row r="444">
      <c r="A444" s="1">
        <v>1.0</v>
      </c>
      <c r="B444" s="1" t="s">
        <v>445</v>
      </c>
      <c r="C444" t="str">
        <f>IFERROR(__xludf.DUMMYFUNCTION("GOOGLETRANSLATE(B444, ""fr"", ""en"")"),"Very disappointed !!!! This watch is not beautiful box of plastic covered with gray paint really beautiful it really do very bottom of game I regret my purchase and would not wear this watch because the commentary is not specified that the case is in plas"&amp;"tic and not metal as the original")</f>
        <v>Very disappointed !!!! This watch is not beautiful box of plastic covered with gray paint really beautiful it really do very bottom of game I regret my purchase and would not wear this watch because the commentary is not specified that the case is in plastic and not metal as the original</v>
      </c>
    </row>
    <row r="445">
      <c r="A445" s="1">
        <v>3.0</v>
      </c>
      <c r="B445" s="1" t="s">
        <v>77</v>
      </c>
      <c r="C445" t="str">
        <f>IFERROR(__xludf.DUMMYFUNCTION("GOOGLETRANSLATE(B445, ""fr"", ""en"")"),"Pretty pretty")</f>
        <v>Pretty pretty</v>
      </c>
    </row>
    <row r="446">
      <c r="A446" s="1">
        <v>4.0</v>
      </c>
      <c r="B446" s="1" t="s">
        <v>446</v>
      </c>
      <c r="C446" t="str">
        <f>IFERROR(__xludf.DUMMYFUNCTION("GOOGLETRANSLATE(B446, ""fr"", ""en"")"),"Very Nice very nice product and very symple use. Item purchased as wet room and diffcult to heat. So a frozen winter bed, not cool ... So I bought this heated mattress to alleviate this concern. I put it to maximum power time for a transition to the bathr"&amp;"oom and I arrived in the bed that is so hot. 4 power level, the 4 strong heating !! Character I extinguishes as soon as I got to bed like that no risk of forgetting. I recommend this article espérantqu'il hard time ....")</f>
        <v>Very Nice very nice product and very symple use. Item purchased as wet room and diffcult to heat. So a frozen winter bed, not cool ... So I bought this heated mattress to alleviate this concern. I put it to maximum power time for a transition to the bathroom and I arrived in the bed that is so hot. 4 power level, the 4 strong heating !! Character I extinguishes as soon as I got to bed like that no risk of forgetting. I recommend this article espérantqu'il hard time ....</v>
      </c>
    </row>
    <row r="447">
      <c r="A447" s="1">
        <v>4.0</v>
      </c>
      <c r="B447" s="1" t="s">
        <v>447</v>
      </c>
      <c r="C447" t="str">
        <f>IFERROR(__xludf.DUMMYFUNCTION("GOOGLETRANSLATE(B447, ""fr"", ""en"")"),"Very good value Nice product well finished good quality.")</f>
        <v>Very good value Nice product well finished good quality.</v>
      </c>
    </row>
    <row r="448">
      <c r="A448" s="1">
        <v>4.0</v>
      </c>
      <c r="B448" s="1" t="s">
        <v>448</v>
      </c>
      <c r="C448" t="str">
        <f>IFERROR(__xludf.DUMMYFUNCTION("GOOGLETRANSLATE(B448, ""fr"", ""en"")"),"TOP Contente its baskettes, extra soft slippers kind and strong. Good color and appropriate has the size as expected. I am a 40 and it nikel. I recommend to those with sensitive feet.")</f>
        <v>TOP Contente its baskettes, extra soft slippers kind and strong. Good color and appropriate has the size as expected. I am a 40 and it nikel. I recommend to those with sensitive feet.</v>
      </c>
    </row>
    <row r="449">
      <c r="A449" s="1">
        <v>4.0</v>
      </c>
      <c r="B449" s="1" t="s">
        <v>449</v>
      </c>
      <c r="C449" t="str">
        <f>IFERROR(__xludf.DUMMYFUNCTION("GOOGLETRANSLATE(B449, ""fr"", ""en"")"),"In line with expectations teats These are good quality, easy to clean. In line with our expectations.")</f>
        <v>In line with expectations teats These are good quality, easy to clean. In line with our expectations.</v>
      </c>
    </row>
    <row r="450">
      <c r="A450" s="1">
        <v>4.0</v>
      </c>
      <c r="B450" s="1" t="s">
        <v>450</v>
      </c>
      <c r="C450" t="str">
        <f>IFERROR(__xludf.DUMMYFUNCTION("GOOGLETRANSLATE(B450, ""fr"", ""en"")"),"beautiful boots quality boots, light and flexible, excellent sole and wide very comfortable calf. I like this article Fast delivery always comply with the order")</f>
        <v>beautiful boots quality boots, light and flexible, excellent sole and wide very comfortable calf. I like this article Fast delivery always comply with the order</v>
      </c>
    </row>
    <row r="451">
      <c r="A451" s="1">
        <v>5.0</v>
      </c>
      <c r="B451" s="1" t="s">
        <v>451</v>
      </c>
      <c r="C451" t="str">
        <f>IFERROR(__xludf.DUMMYFUNCTION("GOOGLETRANSLATE(B451, ""fr"", ""en"")"),"Nickel J adore ♥ ♥ J but was afraid qd I have seen that the package had been opened on the side and the shoe box .... Luckily for me, this model did not please !!!")</f>
        <v>Nickel J adore ♥ ♥ J but was afraid qd I have seen that the package had been opened on the side and the shoe box .... Luckily for me, this model did not please !!!</v>
      </c>
    </row>
    <row r="452">
      <c r="A452" s="1">
        <v>5.0</v>
      </c>
      <c r="B452" s="1" t="s">
        <v>452</v>
      </c>
      <c r="C452" t="str">
        <f>IFERROR(__xludf.DUMMYFUNCTION("GOOGLETRANSLATE(B452, ""fr"", ""en"")"),"Perfect super fast delivery and Blu-ray Disney quality .. just missing the longer version as the DVD")</f>
        <v>Perfect super fast delivery and Blu-ray Disney quality .. just missing the longer version as the DVD</v>
      </c>
    </row>
    <row r="453">
      <c r="A453" s="1">
        <v>5.0</v>
      </c>
      <c r="B453" s="1" t="s">
        <v>453</v>
      </c>
      <c r="C453" t="str">
        <f>IFERROR(__xludf.DUMMYFUNCTION("GOOGLETRANSLATE(B453, ""fr"", ""en"")"),"Perfect for use Convenient to use. Easy to carry. Although hermetic closure. Easy to wash.")</f>
        <v>Perfect for use Convenient to use. Easy to carry. Although hermetic closure. Easy to wash.</v>
      </c>
    </row>
    <row r="454">
      <c r="A454" s="1">
        <v>5.0</v>
      </c>
      <c r="B454" s="1" t="s">
        <v>454</v>
      </c>
      <c r="C454" t="str">
        <f>IFERROR(__xludf.DUMMYFUNCTION("GOOGLETRANSLATE(B454, ""fr"", ""en"")"),"Happy with my purchase! Happy with my purchase! Very nice, convenient, easy to clean, does not take up much space.")</f>
        <v>Happy with my purchase! Happy with my purchase! Very nice, convenient, easy to clean, does not take up much space.</v>
      </c>
    </row>
    <row r="455">
      <c r="A455" s="1">
        <v>5.0</v>
      </c>
      <c r="B455" s="1" t="s">
        <v>455</v>
      </c>
      <c r="C455" t="str">
        <f>IFERROR(__xludf.DUMMYFUNCTION("GOOGLETRANSLATE(B455, ""fr"", ""en"")"),"Very Good money hello size matches I play 44 and I have ordered 44 and very good bill holds well in front and very comfortable. ideal for making km walk")</f>
        <v>Very Good money hello size matches I play 44 and I have ordered 44 and very good bill holds well in front and very comfortable. ideal for making km walk</v>
      </c>
    </row>
    <row r="456">
      <c r="A456" s="1">
        <v>5.0</v>
      </c>
      <c r="B456" s="1" t="s">
        <v>456</v>
      </c>
      <c r="C456" t="str">
        <f>IFERROR(__xludf.DUMMYFUNCTION("GOOGLETRANSLATE(B456, ""fr"", ""en"")"),"very good value for money bought for my mother she was delighted nice good quality product storage box Very fast delivery")</f>
        <v>very good value for money bought for my mother she was delighted nice good quality product storage box Very fast delivery</v>
      </c>
    </row>
    <row r="457">
      <c r="A457" s="1">
        <v>5.0</v>
      </c>
      <c r="B457" s="1" t="s">
        <v>457</v>
      </c>
      <c r="C457" t="str">
        <f>IFERROR(__xludf.DUMMYFUNCTION("GOOGLETRANSLATE(B457, ""fr"", ""en"")"),"Washing soda A wonderful product, we can do so many things with cleaning laundry white, ect .. I'm happy with my purchase.")</f>
        <v>Washing soda A wonderful product, we can do so many things with cleaning laundry white, ect .. I'm happy with my purchase.</v>
      </c>
    </row>
    <row r="458">
      <c r="A458" s="1">
        <v>5.0</v>
      </c>
      <c r="B458" s="1" t="s">
        <v>458</v>
      </c>
      <c r="C458" t="str">
        <f>IFERROR(__xludf.DUMMYFUNCTION("GOOGLETRANSLATE(B458, ""fr"", ""en"")"),"Super convenient, great sound, great discreet soon tried, adopted soon !!!! I had already tried EarPods equivalent but I thought they were not comfortable (discomfort in the ear) and discrete (white color), so I had abandoned (. When I saw these Bluetooth"&amp;" headphones, they me . appeared quieter and I wanted to order I was blown away by trying them: perfectly fit in the hollow of the ear, the sound quality is perfect, no sizzle, its very clear, and in addition they are super discreet! as they pass unnoticed"&amp;" brown in my hair !!! I'm thrilled !!! I was immediately adopted. Perfect for listening to music or the radio on my phone, or to hear the sound of movies iPad. I'll take them all over to be able to look after without bothering anyone during the long hours"&amp;" of waiting when my children make their extra curricular activities. I'll order extra pairs for my children")</f>
        <v>Super convenient, great sound, great discreet soon tried, adopted soon !!!! I had already tried EarPods equivalent but I thought they were not comfortable (discomfort in the ear) and discrete (white color), so I had abandoned (. When I saw these Bluetooth headphones, they me . appeared quieter and I wanted to order I was blown away by trying them: perfectly fit in the hollow of the ear, the sound quality is perfect, no sizzle, its very clear, and in addition they are super discreet! as they pass unnoticed brown in my hair !!! I'm thrilled !!! I was immediately adopted. Perfect for listening to music or the radio on my phone, or to hear the sound of movies iPad. I'll take them all over to be able to look after without bothering anyone during the long hours of waiting when my children make their extra curricular activities. I'll order extra pairs for my children</v>
      </c>
    </row>
    <row r="459">
      <c r="A459" s="1">
        <v>5.0</v>
      </c>
      <c r="B459" s="1" t="s">
        <v>459</v>
      </c>
      <c r="C459" t="str">
        <f>IFERROR(__xludf.DUMMYFUNCTION("GOOGLETRANSLATE(B459, ""fr"", ""en"")"),"Meets the Perfect Photo")</f>
        <v>Meets the Perfect Photo</v>
      </c>
    </row>
    <row r="460">
      <c r="A460" s="1">
        <v>5.0</v>
      </c>
      <c r="B460" s="1" t="s">
        <v>460</v>
      </c>
      <c r="C460" t="str">
        <f>IFERROR(__xludf.DUMMYFUNCTION("GOOGLETRANSLATE(B460, ""fr"", ""en"")"),"Perfect and Beautiful seem solid, they are good :) I even door sometimes at night and in the shower, they do not move. I am glad")</f>
        <v>Perfect and Beautiful seem solid, they are good :) I even door sometimes at night and in the shower, they do not move. I am glad</v>
      </c>
    </row>
    <row r="461">
      <c r="A461" s="1">
        <v>5.0</v>
      </c>
      <c r="B461" s="1" t="s">
        <v>461</v>
      </c>
      <c r="C461" t="str">
        <f>IFERROR(__xludf.DUMMYFUNCTION("GOOGLETRANSLATE(B461, ""fr"", ""en"")"),"Well suited RAS")</f>
        <v>Well suited RAS</v>
      </c>
    </row>
    <row r="462">
      <c r="A462" s="1">
        <v>5.0</v>
      </c>
      <c r="B462" s="1" t="s">
        <v>462</v>
      </c>
      <c r="C462" t="str">
        <f>IFERROR(__xludf.DUMMYFUNCTION("GOOGLETRANSLATE(B462, ""fr"", ""en"")"),"Solid and reliable Rando diving ... P A R E A T I E")</f>
        <v>Solid and reliable Rando diving ... P A R E A T I E</v>
      </c>
    </row>
    <row r="463">
      <c r="A463" s="1">
        <v>5.0</v>
      </c>
      <c r="B463" s="1" t="s">
        <v>463</v>
      </c>
      <c r="C463" t="str">
        <f>IFERROR(__xludf.DUMMYFUNCTION("GOOGLETRANSLATE(B463, ""fr"", ""en"")"),"adapted, resistant and aesthetic product suitable, good resistance! Very aesthetic! I recommend!")</f>
        <v>adapted, resistant and aesthetic product suitable, good resistance! Very aesthetic! I recommend!</v>
      </c>
    </row>
    <row r="464">
      <c r="A464" s="1">
        <v>5.0</v>
      </c>
      <c r="B464" s="1" t="s">
        <v>464</v>
      </c>
      <c r="C464" t="str">
        <f>IFERROR(__xludf.DUMMYFUNCTION("GOOGLETRANSLATE(B464, ""fr"", ""en"")"),"I love massage or heating not perfect I love to relax neck back, lower back. I use it everyday. Perfect for relaxing and untie knots")</f>
        <v>I love massage or heating not perfect I love to relax neck back, lower back. I use it everyday. Perfect for relaxing and untie knots</v>
      </c>
    </row>
    <row r="465">
      <c r="A465" s="1">
        <v>5.0</v>
      </c>
      <c r="B465" s="1" t="s">
        <v>465</v>
      </c>
      <c r="C465" t="str">
        <f>IFERROR(__xludf.DUMMYFUNCTION("GOOGLETRANSLATE(B465, ""fr"", ""en"")"),"J adore J bought the bottle for more than 5 years, it is a brand that I like very much. Sweetie 1 year and still breastfeeding but begins to take a bottle and c is natural that I took those out there like the big brothers and sisters")</f>
        <v>J adore J bought the bottle for more than 5 years, it is a brand that I like very much. Sweetie 1 year and still breastfeeding but begins to take a bottle and c is natural that I took those out there like the big brothers and sisters</v>
      </c>
    </row>
    <row r="466">
      <c r="A466" s="1">
        <v>2.0</v>
      </c>
      <c r="B466" s="1" t="s">
        <v>466</v>
      </c>
      <c r="C466" t="str">
        <f>IFERROR(__xludf.DUMMYFUNCTION("GOOGLETRANSLATE(B466, ""fr"", ""en"")"),"Plush after a day ... The quality is really poor. By late afternoon, it was already many plush underfoot. I doubt it's done well for a daily activity for assets. Not worth the brand hiking socks that starts with ""&amp; nbsp; &amp; nbsp Deca;"" and ends with ""&amp; "&amp;"nbsp; Thlon &amp; nbsp;"".")</f>
        <v>Plush after a day ... The quality is really poor. By late afternoon, it was already many plush underfoot. I doubt it's done well for a daily activity for assets. Not worth the brand hiking socks that starts with "&amp; nbsp; &amp; nbsp Deca;" and ends with "&amp; nbsp; Thlon &amp; nbsp;".</v>
      </c>
    </row>
    <row r="467">
      <c r="A467" s="1">
        <v>1.0</v>
      </c>
      <c r="B467" s="1" t="s">
        <v>467</v>
      </c>
      <c r="C467" t="str">
        <f>IFERROR(__xludf.DUMMYFUNCTION("GOOGLETRANSLATE(B467, ""fr"", ""en"")"),"Sting Nothing like avé you the photo and product description ... vulgar dud china made a very poor quality and size too small and more a rip n not buy it !!!")</f>
        <v>Sting Nothing like avé you the photo and product description ... vulgar dud china made a very poor quality and size too small and more a rip n not buy it !!!</v>
      </c>
    </row>
    <row r="468">
      <c r="A468" s="1">
        <v>3.0</v>
      </c>
      <c r="B468" s="1" t="s">
        <v>468</v>
      </c>
      <c r="C468" t="str">
        <f>IFERROR(__xludf.DUMMYFUNCTION("GOOGLETRANSLATE(B468, ""fr"", ""en"")"),"A good supply of envelopes Packaging was correct. Cardboard is convenient to maintain and store. The paper is a little light but enough for everyday use. The bonding of the closure is good. Good value for money.")</f>
        <v>A good supply of envelopes Packaging was correct. Cardboard is convenient to maintain and store. The paper is a little light but enough for everyday use. The bonding of the closure is good. Good value for money.</v>
      </c>
    </row>
    <row r="469">
      <c r="A469" s="1">
        <v>3.0</v>
      </c>
      <c r="B469" s="1" t="s">
        <v>469</v>
      </c>
      <c r="C469" t="str">
        <f>IFERROR(__xludf.DUMMYFUNCTION("GOOGLETRANSLATE(B469, ""fr"", ""en"")"),"Bought too small for everyday use, I actually bit the door because they are too small and hurt my feet, I took 40 which is normally my size. Otherwise they are lightweight and comfortable to wear")</f>
        <v>Bought too small for everyday use, I actually bit the door because they are too small and hurt my feet, I took 40 which is normally my size. Otherwise they are lightweight and comfortable to wear</v>
      </c>
    </row>
    <row r="470">
      <c r="A470" s="1">
        <v>3.0</v>
      </c>
      <c r="B470" s="1" t="s">
        <v>470</v>
      </c>
      <c r="C470" t="str">
        <f>IFERROR(__xludf.DUMMYFUNCTION("GOOGLETRANSLATE(B470, ""fr"", ""en"")"),"Good color markers maisgamme incomplete This fool Medium point felt good, but the colors neon replace normal color equivalent, who are not: there is no yellow, or pink, or clear another green that neon. So, you have to buy another bag to complete. Frankly"&amp;" damage to a bag of 24 pens!")</f>
        <v>Good color markers maisgamme incomplete This fool Medium point felt good, but the colors neon replace normal color equivalent, who are not: there is no yellow, or pink, or clear another green that neon. So, you have to buy another bag to complete. Frankly damage to a bag of 24 pens!</v>
      </c>
    </row>
    <row r="471">
      <c r="A471" s="1">
        <v>4.0</v>
      </c>
      <c r="B471" s="1" t="s">
        <v>471</v>
      </c>
      <c r="C471" t="str">
        <f>IFERROR(__xludf.DUMMYFUNCTION("GOOGLETRANSLATE(B471, ""fr"", ""en"")"),"very well very well")</f>
        <v>very well very well</v>
      </c>
    </row>
    <row r="472">
      <c r="A472" s="1">
        <v>4.0</v>
      </c>
      <c r="B472" s="1" t="s">
        <v>472</v>
      </c>
      <c r="C472" t="str">
        <f>IFERROR(__xludf.DUMMYFUNCTION("GOOGLETRANSLATE(B472, ""fr"", ""en"")"),"Almost perfect. Gift for my mother who loved it. But I think the bracelet is a bit tight for her wrist, wrist she has otherwise end where 4 star. Otherwise quality Casio appointment.")</f>
        <v>Almost perfect. Gift for my mother who loved it. But I think the bracelet is a bit tight for her wrist, wrist she has otherwise end where 4 star. Otherwise quality Casio appointment.</v>
      </c>
    </row>
    <row r="473">
      <c r="A473" s="1">
        <v>4.0</v>
      </c>
      <c r="B473" s="1" t="s">
        <v>473</v>
      </c>
      <c r="C473" t="str">
        <f>IFERROR(__xludf.DUMMYFUNCTION("GOOGLETRANSLATE(B473, ""fr"", ""en"")"),"Super Met my expectations but I took the 40 thought it was going to go with my 'soles suddenly pity it is a little big shoes I of 39")</f>
        <v>Super Met my expectations but I took the 40 thought it was going to go with my 'soles suddenly pity it is a little big shoes I of 39</v>
      </c>
    </row>
    <row r="474">
      <c r="A474" s="1">
        <v>4.0</v>
      </c>
      <c r="B474" s="1" t="s">
        <v>474</v>
      </c>
      <c r="C474" t="str">
        <f>IFERROR(__xludf.DUMMYFUNCTION("GOOGLETRANSLATE(B474, ""fr"", ""en"")"),"value for money under quick scrub Shower Moisturizer")</f>
        <v>value for money under quick scrub Shower Moisturizer</v>
      </c>
    </row>
    <row r="475">
      <c r="A475" s="1">
        <v>5.0</v>
      </c>
      <c r="B475" s="1" t="s">
        <v>475</v>
      </c>
      <c r="C475" t="str">
        <f>IFERROR(__xludf.DUMMYFUNCTION("GOOGLETRANSLATE(B475, ""fr"", ""en"")"),"Confrome the description My helmet starting to get old and micro having no dedicated not I wanted to invest in a gaming headset so you can both communicate with my friends, but also hear the footsteps of 6 rainbow. I am quite satisfied with the sound qual"&amp;"ity, my old helmet is a big brand I have not found to decrease sound quality in the game, which was my only concern. Adjusting the sound is flexible and convenient. The effect is cutting its success, allowing an immersive and better concentration. I recom"&amp;"mend this helmet, I hope it will last in time &amp; nbsp ;!")</f>
        <v>Confrome the description My helmet starting to get old and micro having no dedicated not I wanted to invest in a gaming headset so you can both communicate with my friends, but also hear the footsteps of 6 rainbow. I am quite satisfied with the sound quality, my old helmet is a big brand I have not found to decrease sound quality in the game, which was my only concern. Adjusting the sound is flexible and convenient. The effect is cutting its success, allowing an immersive and better concentration. I recommend this helmet, I hope it will last in time &amp; nbsp ;!</v>
      </c>
    </row>
    <row r="476">
      <c r="A476" s="1">
        <v>5.0</v>
      </c>
      <c r="B476" s="1" t="s">
        <v>476</v>
      </c>
      <c r="C476" t="str">
        <f>IFERROR(__xludf.DUMMYFUNCTION("GOOGLETRANSLATE(B476, ""fr"", ""en"")"),"very very good product and quality")</f>
        <v>very very good product and quality</v>
      </c>
    </row>
    <row r="477">
      <c r="A477" s="1">
        <v>5.0</v>
      </c>
      <c r="B477" s="1" t="s">
        <v>477</v>
      </c>
      <c r="C477" t="str">
        <f>IFERROR(__xludf.DUMMYFUNCTION("GOOGLETRANSLATE(B477, ""fr"", ""en"")"),"At the top Super Size Product nickel and very comfortable to wear for running very satisfied with my purchase")</f>
        <v>At the top Super Size Product nickel and very comfortable to wear for running very satisfied with my purchase</v>
      </c>
    </row>
    <row r="478">
      <c r="A478" s="1">
        <v>5.0</v>
      </c>
      <c r="B478" s="1" t="s">
        <v>478</v>
      </c>
      <c r="C478" t="str">
        <f>IFERROR(__xludf.DUMMYFUNCTION("GOOGLETRANSLATE(B478, ""fr"", ""en"")"),"Reebok Basketball Top Basketball great my son is delighted")</f>
        <v>Reebok Basketball Top Basketball great my son is delighted</v>
      </c>
    </row>
    <row r="479">
      <c r="A479" s="1">
        <v>5.0</v>
      </c>
      <c r="B479" s="1" t="s">
        <v>479</v>
      </c>
      <c r="C479" t="str">
        <f>IFERROR(__xludf.DUMMYFUNCTION("GOOGLETRANSLATE(B479, ""fr"", ""en"")"),"Delivered quickly Normal")</f>
        <v>Delivered quickly Normal</v>
      </c>
    </row>
    <row r="480">
      <c r="A480" s="1">
        <v>5.0</v>
      </c>
      <c r="B480" s="1" t="s">
        <v>480</v>
      </c>
      <c r="C480" t="str">
        <f>IFERROR(__xludf.DUMMYFUNCTION("GOOGLETRANSLATE(B480, ""fr"", ""en"")"),"Too nice happy with my purchase ..offert to Christmas and the person find so cool and above all practical .. I recommend for a fun gift")</f>
        <v>Too nice happy with my purchase ..offert to Christmas and the person find so cool and above all practical .. I recommend for a fun gift</v>
      </c>
    </row>
    <row r="481">
      <c r="A481" s="1">
        <v>5.0</v>
      </c>
      <c r="B481" s="1" t="s">
        <v>481</v>
      </c>
      <c r="C481" t="str">
        <f>IFERROR(__xludf.DUMMYFUNCTION("GOOGLETRANSLATE(B481, ""fr"", ""en"")"),"Good quality / price This helmet is really good, the color styles are very good, I saw many internet comparisons, and finally chose your store, after the arrival of goods, I am completely satisfied! Supplied in a small pouch with several rubber caps of di"&amp;"fferent sizes. The cable is long and soft, all is well finished. I really like him.")</f>
        <v>Good quality / price This helmet is really good, the color styles are very good, I saw many internet comparisons, and finally chose your store, after the arrival of goods, I am completely satisfied! Supplied in a small pouch with several rubber caps of different sizes. The cable is long and soft, all is well finished. I really like him.</v>
      </c>
    </row>
    <row r="482">
      <c r="A482" s="1">
        <v>5.0</v>
      </c>
      <c r="B482" s="1" t="s">
        <v>482</v>
      </c>
      <c r="C482" t="str">
        <f>IFERROR(__xludf.DUMMYFUNCTION("GOOGLETRANSLATE(B482, ""fr"", ""en"")"),"Very good for the hero go pro 5 Lightweight good value for money. I use it with my hero go pro 5 and rendering is fantastic so that there is not much wind.")</f>
        <v>Very good for the hero go pro 5 Lightweight good value for money. I use it with my hero go pro 5 and rendering is fantastic so that there is not much wind.</v>
      </c>
    </row>
    <row r="483">
      <c r="A483" s="1">
        <v>5.0</v>
      </c>
      <c r="B483" s="1" t="s">
        <v>483</v>
      </c>
      <c r="C483" t="str">
        <f>IFERROR(__xludf.DUMMYFUNCTION("GOOGLETRANSLATE(B483, ""fr"", ""en"")"),"Basketball Air Delivery time running. The sneakers are comfortable and the size is. Cloud sneakers absorbs the jolt during the walk / run. The sneakers are fairly light. Good foot.")</f>
        <v>Basketball Air Delivery time running. The sneakers are comfortable and the size is. Cloud sneakers absorbs the jolt during the walk / run. The sneakers are fairly light. Good foot.</v>
      </c>
    </row>
    <row r="484">
      <c r="A484" s="1">
        <v>5.0</v>
      </c>
      <c r="B484" s="1" t="s">
        <v>484</v>
      </c>
      <c r="C484" t="str">
        <f>IFERROR(__xludf.DUMMYFUNCTION("GOOGLETRANSLATE(B484, ""fr"", ""en"")"),"Perfect Too Perfect Too good too !! Beautiful!")</f>
        <v>Perfect Too Perfect Too good too !! Beautiful!</v>
      </c>
    </row>
    <row r="485">
      <c r="A485" s="1">
        <v>5.0</v>
      </c>
      <c r="B485" s="1" t="s">
        <v>485</v>
      </c>
      <c r="C485" t="str">
        <f>IFERROR(__xludf.DUMMYFUNCTION("GOOGLETRANSLATE(B485, ""fr"", ""en"")"),"Great product great product")</f>
        <v>Great product great product</v>
      </c>
    </row>
    <row r="486">
      <c r="A486" s="1">
        <v>5.0</v>
      </c>
      <c r="B486" s="1" t="s">
        <v>486</v>
      </c>
      <c r="C486" t="str">
        <f>IFERROR(__xludf.DUMMYFUNCTION("GOOGLETRANSLATE(B486, ""fr"", ""en"")"),"Super awesome collection. My daughter loves")</f>
        <v>Super awesome collection. My daughter loves</v>
      </c>
    </row>
    <row r="487">
      <c r="A487" s="1">
        <v>5.0</v>
      </c>
      <c r="B487" s="1" t="s">
        <v>487</v>
      </c>
      <c r="C487" t="str">
        <f>IFERROR(__xludf.DUMMYFUNCTION("GOOGLETRANSLATE(B487, ""fr"", ""en"")"),"Great for sports I am absolutely delighted these sports headphones. I tested them before offering them to my sister who is a great sport and I can tell you that the sound is great! On top of that the product arrived very well packed! And the design of the"&amp;" product perfectly married my ear shape which allows not knock them down during sporting activities!")</f>
        <v>Great for sports I am absolutely delighted these sports headphones. I tested them before offering them to my sister who is a great sport and I can tell you that the sound is great! On top of that the product arrived very well packed! And the design of the product perfectly married my ear shape which allows not knock them down during sporting activities!</v>
      </c>
    </row>
    <row r="488">
      <c r="A488" s="1">
        <v>5.0</v>
      </c>
      <c r="B488" s="1" t="s">
        <v>488</v>
      </c>
      <c r="C488" t="str">
        <f>IFERROR(__xludf.DUMMYFUNCTION("GOOGLETRANSLATE(B488, ""fr"", ""en"")"),"Gift popular My niece reads this book every night. She adores ! She was very happy when I offered a second.")</f>
        <v>Gift popular My niece reads this book every night. She adores ! She was very happy when I offered a second.</v>
      </c>
    </row>
    <row r="489">
      <c r="A489" s="1">
        <v>5.0</v>
      </c>
      <c r="B489" s="1" t="s">
        <v>489</v>
      </c>
      <c r="C489" t="str">
        <f>IFERROR(__xludf.DUMMYFUNCTION("GOOGLETRANSLATE(B489, ""fr"", ""en"")"),"Super quality Sweater received timely and very good quality and it would therefore like heavy enough hot.")</f>
        <v>Super quality Sweater received timely and very good quality and it would therefore like heavy enough hot.</v>
      </c>
    </row>
    <row r="490">
      <c r="A490" s="1">
        <v>2.0</v>
      </c>
      <c r="B490" s="1" t="s">
        <v>490</v>
      </c>
      <c r="C490" t="str">
        <f>IFERROR(__xludf.DUMMYFUNCTION("GOOGLETRANSLATE(B490, ""fr"", ""en"")"),"Caution fragile helmet mediocre Hello I recommend you to buy it helmet looks solid and yet the joint of my right ear is broken without knowing why when I take the greatest care. I know not all be a matter to her but I can tell you that the noise reduction"&amp;" is not great at all I want to clarify that the active reducing frequencies sent to oppose the interference means a small acute noise it does not bother me but the noise hurts the ears sound quality is not great compared to basic headphones. Frankly advic"&amp;"e to keep your money and you bought headphones or if you have a bigger budget to invest in a real helmet because it really is mediocre at first I was so happy it was new to me but after 1 week test is discovered defects helmet and now it is barely 2 month"&amp;"s I and I are already planning to buy headphones because of this helmet. Really I do not recommend to buy more I can not even get a refund.")</f>
        <v>Caution fragile helmet mediocre Hello I recommend you to buy it helmet looks solid and yet the joint of my right ear is broken without knowing why when I take the greatest care. I know not all be a matter to her but I can tell you that the noise reduction is not great at all I want to clarify that the active reducing frequencies sent to oppose the interference means a small acute noise it does not bother me but the noise hurts the ears sound quality is not great compared to basic headphones. Frankly advice to keep your money and you bought headphones or if you have a bigger budget to invest in a real helmet because it really is mediocre at first I was so happy it was new to me but after 1 week test is discovered defects helmet and now it is barely 2 months I and I are already planning to buy headphones because of this helmet. Really I do not recommend to buy more I can not even get a refund.</v>
      </c>
    </row>
    <row r="491">
      <c r="A491" s="1">
        <v>1.0</v>
      </c>
      <c r="B491" s="1" t="s">
        <v>491</v>
      </c>
      <c r="C491" t="str">
        <f>IFERROR(__xludf.DUMMYFUNCTION("GOOGLETRANSLATE(B491, ""fr"", ""en"")"),"Too narrow too narrow")</f>
        <v>Too narrow too narrow</v>
      </c>
    </row>
    <row r="492">
      <c r="A492" s="1">
        <v>1.0</v>
      </c>
      <c r="B492" s="1" t="s">
        <v>492</v>
      </c>
      <c r="C492" t="str">
        <f>IFERROR(__xludf.DUMMYFUNCTION("GOOGLETRANSLATE(B492, ""fr"", ""en"")"),"plastic fake basketball went out. 100% plastic. priced at true")</f>
        <v>plastic fake basketball went out. 100% plastic. priced at true</v>
      </c>
    </row>
    <row r="493">
      <c r="A493" s="1">
        <v>1.0</v>
      </c>
      <c r="B493" s="1" t="s">
        <v>493</v>
      </c>
      <c r="C493" t="str">
        <f>IFERROR(__xludf.DUMMYFUNCTION("GOOGLETRANSLATE(B493, ""fr"", ""en"")"),"Do not buy Incomprehensible I order a size s I get a xl which is much too small I recommended")</f>
        <v>Do not buy Incomprehensible I order a size s I get a xl which is much too small I recommended</v>
      </c>
    </row>
    <row r="494">
      <c r="A494" s="1">
        <v>3.0</v>
      </c>
      <c r="B494" s="1" t="s">
        <v>494</v>
      </c>
      <c r="C494" t="str">
        <f>IFERROR(__xludf.DUMMYFUNCTION("GOOGLETRANSLATE(B494, ""fr"", ""en"")"),"Pretty noisy design too fast water heater and use is easy. As against it is really noisy.")</f>
        <v>Pretty noisy design too fast water heater and use is easy. As against it is really noisy.</v>
      </c>
    </row>
    <row r="495">
      <c r="A495" s="1">
        <v>4.0</v>
      </c>
      <c r="B495" s="1" t="s">
        <v>495</v>
      </c>
      <c r="C495" t="str">
        <f>IFERROR(__xludf.DUMMYFUNCTION("GOOGLETRANSLATE(B495, ""fr"", ""en"")"),"Ideal for a woman's foot This model is said to be perfect for a woman's foot (which is not a man walking in smaller!). One caveat, however: if this shoe is impeccable comfort for walking, it is not recommended for risky excursions: the sole does not catch"&amp;" enough on slippery surfaces.")</f>
        <v>Ideal for a woman's foot This model is said to be perfect for a woman's foot (which is not a man walking in smaller!). One caveat, however: if this shoe is impeccable comfort for walking, it is not recommended for risky excursions: the sole does not catch enough on slippery surfaces.</v>
      </c>
    </row>
    <row r="496">
      <c r="A496" s="1">
        <v>4.0</v>
      </c>
      <c r="B496" s="1" t="s">
        <v>496</v>
      </c>
      <c r="C496" t="str">
        <f>IFERROR(__xludf.DUMMYFUNCTION("GOOGLETRANSLATE(B496, ""fr"", ""en"")"),"Fangs, we like or not like I ordered fangs for use in the operating room, what fun! Rather, they are well suited even if post I regret not having bought with the front completely closed. Unlike other reviews I've read, mine are made in Italy, proof that t"&amp;"hey are not fakes? Comfortable, plastic is quite soft which is nice.")</f>
        <v>Fangs, we like or not like I ordered fangs for use in the operating room, what fun! Rather, they are well suited even if post I regret not having bought with the front completely closed. Unlike other reviews I've read, mine are made in Italy, proof that they are not fakes? Comfortable, plastic is quite soft which is nice.</v>
      </c>
    </row>
    <row r="497">
      <c r="A497" s="1">
        <v>4.0</v>
      </c>
      <c r="B497" s="1" t="s">
        <v>497</v>
      </c>
      <c r="C497" t="str">
        <f>IFERROR(__xludf.DUMMYFUNCTION("GOOGLETRANSLATE(B497, ""fr"", ""en"")"),"I recommend Great, I love it, a little bit bigger but I prefer when it's like this, I recommend!")</f>
        <v>I recommend Great, I love it, a little bit bigger but I prefer when it's like this, I recommend!</v>
      </c>
    </row>
    <row r="498">
      <c r="A498" s="1">
        <v>4.0</v>
      </c>
      <c r="B498" s="1" t="s">
        <v>498</v>
      </c>
      <c r="C498" t="str">
        <f>IFERROR(__xludf.DUMMYFUNCTION("GOOGLETRANSLATE(B498, ""fr"", ""en"")"),"Good perch &lt;a data-hook = ""product-link-linked"" class = ""a-link-normal"" href = ""/ Foxnovo-Broadcasting-sustainable-Studio-Microphone-Mic-suspension-scissors-arm boom-black / dp / B00MQRHN5U / ref = cm_cr_arp_d_rvw_txt? ie = UTF8 ""&gt; Foxnovo sustainab"&amp;"le Broadcasting Studio microphone mic Suspension scissors arm pole (black) is &lt;/a&gt; I install my microphone bird UM1 so it is compatible with the microphone. The fixation on the desktop to a small foam to prevent when used too the basis of damaging the off"&amp;"ice. The pole works well takes the position wish without problems. Will just pay attention to the weight of the microphone that could lower your boom during recording or other ... The quality of material is impeccable I find for me. A good 4/5 for this pe"&amp;"rch, I remove a star for the crank at the end of the boom microphone for fixing even turn back continue running constantly as if it was not set correctly.")</f>
        <v>Good perch &lt;a data-hook = "product-link-linked" class = "a-link-normal" href = "/ Foxnovo-Broadcasting-sustainable-Studio-Microphone-Mic-suspension-scissors-arm boom-black / dp / B00MQRHN5U / ref = cm_cr_arp_d_rvw_txt? ie = UTF8 "&gt; Foxnovo sustainable Broadcasting Studio microphone mic Suspension scissors arm pole (black) is &lt;/a&gt; I install my microphone bird UM1 so it is compatible with the microphone. The fixation on the desktop to a small foam to prevent when used too the basis of damaging the office. The pole works well takes the position wish without problems. Will just pay attention to the weight of the microphone that could lower your boom during recording or other ... The quality of material is impeccable I find for me. A good 4/5 for this perch, I remove a star for the crank at the end of the boom microphone for fixing even turn back continue running constantly as if it was not set correctly.</v>
      </c>
    </row>
    <row r="499">
      <c r="A499" s="1">
        <v>5.0</v>
      </c>
      <c r="B499" s="1" t="s">
        <v>499</v>
      </c>
      <c r="C499" t="str">
        <f>IFERROR(__xludf.DUMMYFUNCTION("GOOGLETRANSLATE(B499, ""fr"", ""en"")"),"étoilessandales NIKE tap Beautiful and comfortable My son is satisfied")</f>
        <v>étoilessandales NIKE tap Beautiful and comfortable My son is satisfied</v>
      </c>
    </row>
    <row r="500">
      <c r="A500" s="1">
        <v>5.0</v>
      </c>
      <c r="B500" s="1" t="s">
        <v>500</v>
      </c>
      <c r="C500" t="str">
        <f>IFERROR(__xludf.DUMMYFUNCTION("GOOGLETRANSLATE(B500, ""fr"", ""en"")"),"Nothing is easy to use light to carry in the car at home everywhere")</f>
        <v>Nothing is easy to use light to carry in the car at home everywhere</v>
      </c>
    </row>
    <row r="501">
      <c r="A501" s="1">
        <v>5.0</v>
      </c>
      <c r="B501" s="1" t="s">
        <v>501</v>
      </c>
      <c r="C501" t="str">
        <f>IFERROR(__xludf.DUMMYFUNCTION("GOOGLETRANSLATE(B501, ""fr"", ""en"")"),"Correct Meets description")</f>
        <v>Correct Meets description</v>
      </c>
    </row>
    <row r="502">
      <c r="A502" s="1">
        <v>5.0</v>
      </c>
      <c r="B502" s="1" t="s">
        <v>502</v>
      </c>
      <c r="C502" t="str">
        <f>IFERROR(__xludf.DUMMYFUNCTION("GOOGLETRANSLATE(B502, ""fr"", ""en"")"),"Beautiful object For a gift")</f>
        <v>Beautiful object For a gift</v>
      </c>
    </row>
    <row r="503">
      <c r="A503" s="1">
        <v>5.0</v>
      </c>
      <c r="B503" s="1" t="s">
        <v>224</v>
      </c>
      <c r="C503" t="str">
        <f>IFERROR(__xludf.DUMMYFUNCTION("GOOGLETRANSLATE(B503, ""fr"", ""en"")"),"perfect perfect")</f>
        <v>perfect perfect</v>
      </c>
    </row>
    <row r="504">
      <c r="A504" s="1">
        <v>5.0</v>
      </c>
      <c r="B504" s="1" t="s">
        <v>503</v>
      </c>
      <c r="C504" t="str">
        <f>IFERROR(__xludf.DUMMYFUNCTION("GOOGLETRANSLATE(B504, ""fr"", ""en"")"),"1 To practice basketball")</f>
        <v>1 To practice basketball</v>
      </c>
    </row>
    <row r="505">
      <c r="A505" s="1">
        <v>5.0</v>
      </c>
      <c r="B505" s="1" t="s">
        <v>504</v>
      </c>
      <c r="C505" t="str">
        <f>IFERROR(__xludf.DUMMYFUNCTION("GOOGLETRANSLATE(B505, ""fr"", ""en"")"),"Super sweat! t quite consistent with the picture, it looks good quality, it keeps you warm and is gentle. I recommend !!")</f>
        <v>Super sweat! t quite consistent with the picture, it looks good quality, it keeps you warm and is gentle. I recommend !!</v>
      </c>
    </row>
    <row r="506">
      <c r="A506" s="1">
        <v>5.0</v>
      </c>
      <c r="B506" s="1" t="s">
        <v>505</v>
      </c>
      <c r="C506" t="str">
        <f>IFERROR(__xludf.DUMMYFUNCTION("GOOGLETRANSLATE(B506, ""fr"", ""en"")"),"Okay 👍👍👍")</f>
        <v>Okay 👍👍👍</v>
      </c>
    </row>
    <row r="507">
      <c r="A507" s="1">
        <v>5.0</v>
      </c>
      <c r="B507" s="1" t="s">
        <v>506</v>
      </c>
      <c r="C507" t="str">
        <f>IFERROR(__xludf.DUMMYFUNCTION("GOOGLETRANSLATE(B507, ""fr"", ""en"")"),"good value for money very nice helmet that I offered my wife since she leaves the more the sound is very good it folds to be able to put anywhere and you take everything very little room for Furthermore the packaging is really very little delivery was per"&amp;"formed in due time really a very nice product for the price")</f>
        <v>good value for money very nice helmet that I offered my wife since she leaves the more the sound is very good it folds to be able to put anywhere and you take everything very little room for Furthermore the packaging is really very little delivery was performed in due time really a very nice product for the price</v>
      </c>
    </row>
    <row r="508">
      <c r="A508" s="1">
        <v>5.0</v>
      </c>
      <c r="B508" s="1" t="s">
        <v>507</v>
      </c>
      <c r="C508" t="str">
        <f>IFERROR(__xludf.DUMMYFUNCTION("GOOGLETRANSLATE(B508, ""fr"", ""en"")"),"Perfect Very nice color. Very practical bag with its multiple pockets.")</f>
        <v>Perfect Very nice color. Very practical bag with its multiple pockets.</v>
      </c>
    </row>
    <row r="509">
      <c r="A509" s="1">
        <v>5.0</v>
      </c>
      <c r="B509" s="1" t="s">
        <v>508</v>
      </c>
      <c r="C509" t="str">
        <f>IFERROR(__xludf.DUMMYFUNCTION("GOOGLETRANSLATE(B509, ""fr"", ""en"")"),"Very well very well")</f>
        <v>Very well very well</v>
      </c>
    </row>
    <row r="510">
      <c r="A510" s="1">
        <v>5.0</v>
      </c>
      <c r="B510" s="1" t="s">
        <v>509</v>
      </c>
      <c r="C510" t="str">
        <f>IFERROR(__xludf.DUMMYFUNCTION("GOOGLETRANSLATE(B510, ""fr"", ""en"")"),"The cheaper it is, the better it is I received this recently helmet and am captivated by its sound reproduction. I had in my closet an old DT440 with a spectrum rather narrow. I ordered this headset after long tried a HD650 and K701 ... with response curv"&amp;"es ""on C .."". Pouquoi spend so much bad results. The DT990 has a warm sound, a little too serious for my taste, but that do not break the spatial. No holes in bandwidth and therefore accepts therefore any type of music. It is possible to absorb excess s"&amp;"erious masking vents bass-reflex: inserting the elastic portions (28mm, preferably white) in 2, 3 or 4 center slots of each earpiece. But I always compare with my best helmet for me, the Philips SBC-HD1500, longer manufactured for many years.")</f>
        <v>The cheaper it is, the better it is I received this recently helmet and am captivated by its sound reproduction. I had in my closet an old DT440 with a spectrum rather narrow. I ordered this headset after long tried a HD650 and K701 ... with response curves "on C ..". Pouquoi spend so much bad results. The DT990 has a warm sound, a little too serious for my taste, but that do not break the spatial. No holes in bandwidth and therefore accepts therefore any type of music. It is possible to absorb excess serious masking vents bass-reflex: inserting the elastic portions (28mm, preferably white) in 2, 3 or 4 center slots of each earpiece. But I always compare with my best helmet for me, the Philips SBC-HD1500, longer manufactured for many years.</v>
      </c>
    </row>
    <row r="511">
      <c r="A511" s="1">
        <v>5.0</v>
      </c>
      <c r="B511" s="1" t="s">
        <v>510</v>
      </c>
      <c r="C511" t="str">
        <f>IFERROR(__xludf.DUMMYFUNCTION("GOOGLETRANSLATE(B511, ""fr"", ""en"")"),"pleasant socks Hello, I feared that this type of sock to make ""wrinkles"" and hurt the foot, it is rien.Donc is super.Il are also no problem of ""overheating"" in level socks.")</f>
        <v>pleasant socks Hello, I feared that this type of sock to make "wrinkles" and hurt the foot, it is rien.Donc is super.Il are also no problem of "overheating" in level socks.</v>
      </c>
    </row>
    <row r="512">
      <c r="A512" s="1">
        <v>5.0</v>
      </c>
      <c r="B512" s="1" t="s">
        <v>511</v>
      </c>
      <c r="C512" t="str">
        <f>IFERROR(__xludf.DUMMYFUNCTION("GOOGLETRANSLATE(B512, ""fr"", ""en"")"),"Okay Nice quality paper. Suitable for all media")</f>
        <v>Okay Nice quality paper. Suitable for all media</v>
      </c>
    </row>
    <row r="513">
      <c r="A513" s="1">
        <v>5.0</v>
      </c>
      <c r="B513" s="1" t="s">
        <v>512</v>
      </c>
      <c r="C513" t="str">
        <f>IFERROR(__xludf.DUMMYFUNCTION("GOOGLETRANSLATE(B513, ""fr"", ""en"")"),"Wonderful I gave this watch to my husband for our 1 year wedding anniversary. He is delighted and continues to talk about. He loves the fact that there was no unnecessary buttons. The time is easy to read. The fact that she feels the leather. And undernea"&amp;"th all the style of this watch. I really made a man happy with this watch. I will actively recommend. Moreover, it is cheaper on Amazon than on the brand's website. We must enjoy: D")</f>
        <v>Wonderful I gave this watch to my husband for our 1 year wedding anniversary. He is delighted and continues to talk about. He loves the fact that there was no unnecessary buttons. The time is easy to read. The fact that she feels the leather. And underneath all the style of this watch. I really made a man happy with this watch. I will actively recommend. Moreover, it is cheaper on Amazon than on the brand's website. We must enjoy: D</v>
      </c>
    </row>
    <row r="514">
      <c r="A514" s="1">
        <v>2.0</v>
      </c>
      <c r="B514" s="1" t="s">
        <v>513</v>
      </c>
      <c r="C514" t="str">
        <f>IFERROR(__xludf.DUMMYFUNCTION("GOOGLETRANSLATE(B514, ""fr"", ""en"")"),"Bluetooth not J5 Samsung Does not work in Bluetooth (not recognized) on my samsung d5 but works on the J4 which however is older. I use it with the jack but it takes away much of its interest. If not the sound quality is correct. But after 30 minutes he f"&amp;"inally not shake a little. The bag is practical.")</f>
        <v>Bluetooth not J5 Samsung Does not work in Bluetooth (not recognized) on my samsung d5 but works on the J4 which however is older. I use it with the jack but it takes away much of its interest. If not the sound quality is correct. But after 30 minutes he finally not shake a little. The bag is practical.</v>
      </c>
    </row>
    <row r="515">
      <c r="A515" s="1">
        <v>1.0</v>
      </c>
      <c r="B515" s="1" t="s">
        <v>514</v>
      </c>
      <c r="C515" t="str">
        <f>IFERROR(__xludf.DUMMYFUNCTION("GOOGLETRANSLATE(B515, ""fr"", ""en"")"),"very disappointed with this purchase I love the shoes with wooden soles but these are very uncomfortable and poorly made !! I took a 37 red, nothing to say about the color but are a little bigger and not comfortable at all. no ergonomics at the timber bas"&amp;"e and not going to cook until the rear of the shoe. In short inadvisable")</f>
        <v>very disappointed with this purchase I love the shoes with wooden soles but these are very uncomfortable and poorly made !! I took a 37 red, nothing to say about the color but are a little bigger and not comfortable at all. no ergonomics at the timber base and not going to cook until the rear of the shoe. In short inadvisable</v>
      </c>
    </row>
    <row r="516">
      <c r="A516" s="1">
        <v>3.0</v>
      </c>
      <c r="B516" s="1" t="s">
        <v>515</v>
      </c>
      <c r="C516" t="str">
        <f>IFERROR(__xludf.DUMMYFUNCTION("GOOGLETRANSLATE(B516, ""fr"", ""en"")"),"Watch fragile ring off. Use for everyday life, most sports (trail, surfing etc. ..) Beautiful setting, however, the top ring is off after swimming 30m !! A little disappointed !")</f>
        <v>Watch fragile ring off. Use for everyday life, most sports (trail, surfing etc. ..) Beautiful setting, however, the top ring is off after swimming 30m !! A little disappointed !</v>
      </c>
    </row>
    <row r="517">
      <c r="A517" s="1">
        <v>3.0</v>
      </c>
      <c r="B517" s="1" t="s">
        <v>516</v>
      </c>
      <c r="C517" t="str">
        <f>IFERROR(__xludf.DUMMYFUNCTION("GOOGLETRANSLATE(B517, ""fr"", ""en"")"),"Lack screws, damage Replacement")</f>
        <v>Lack screws, damage Replacement</v>
      </c>
    </row>
    <row r="518">
      <c r="A518" s="1">
        <v>4.0</v>
      </c>
      <c r="B518" s="1" t="s">
        <v>517</v>
      </c>
      <c r="C518" t="str">
        <f>IFERROR(__xludf.DUMMYFUNCTION("GOOGLETRANSLATE(B518, ""fr"", ""en"")"),"keeping the feet from good feeling of comfort, soft and fluffy, after a few days of use I find that there is a lack of lateral stability and lack of cushioning the sole is not thick enough that could explain this flaw, I make my 79 kg weight can be a tend"&amp;"ency to crush the lining, if this problem was corrected I would give 5 stars")</f>
        <v>keeping the feet from good feeling of comfort, soft and fluffy, after a few days of use I find that there is a lack of lateral stability and lack of cushioning the sole is not thick enough that could explain this flaw, I make my 79 kg weight can be a tendency to crush the lining, if this problem was corrected I would give 5 stars</v>
      </c>
    </row>
    <row r="519">
      <c r="A519" s="1">
        <v>4.0</v>
      </c>
      <c r="B519" s="1" t="s">
        <v>518</v>
      </c>
      <c r="C519" t="str">
        <f>IFERROR(__xludf.DUMMYFUNCTION("GOOGLETRANSLATE(B519, ""fr"", ""en"")"),"Neither nor")</f>
        <v>Neither nor</v>
      </c>
    </row>
    <row r="520">
      <c r="A520" s="1">
        <v>4.0</v>
      </c>
      <c r="B520" s="1" t="s">
        <v>519</v>
      </c>
      <c r="C520" t="str">
        <f>IFERROR(__xludf.DUMMYFUNCTION("GOOGLETRANSLATE(B520, ""fr"", ""en"")"),"palladium exactly match the picture, beautiful color, they carve little damage. Take it rather with a size up even if they are expanding a little time. beautiful look.")</f>
        <v>palladium exactly match the picture, beautiful color, they carve little damage. Take it rather with a size up even if they are expanding a little time. beautiful look.</v>
      </c>
    </row>
    <row r="521">
      <c r="A521" s="1">
        <v>4.0</v>
      </c>
      <c r="B521" s="1" t="s">
        <v>520</v>
      </c>
      <c r="C521" t="str">
        <f>IFERROR(__xludf.DUMMYFUNCTION("GOOGLETRANSLATE(B521, ""fr"", ""en"")"),"already know I already know this article I often door and am very happy with this brand and quality.")</f>
        <v>already know I already know this article I often door and am very happy with this brand and quality.</v>
      </c>
    </row>
    <row r="522">
      <c r="A522" s="1">
        <v>5.0</v>
      </c>
      <c r="B522" s="1" t="s">
        <v>521</v>
      </c>
      <c r="C522" t="str">
        <f>IFERROR(__xludf.DUMMYFUNCTION("GOOGLETRANSLATE(B522, ""fr"", ""en"")"),"Sueprbe! Ras nothing to say ..")</f>
        <v>Sueprbe! Ras nothing to say ..</v>
      </c>
    </row>
    <row r="523">
      <c r="A523" s="1">
        <v>5.0</v>
      </c>
      <c r="B523" s="1" t="s">
        <v>522</v>
      </c>
      <c r="C523" t="str">
        <f>IFERROR(__xludf.DUMMYFUNCTION("GOOGLETRANSLATE(B523, ""fr"", ""en"")"),"I recommend Quality with return")</f>
        <v>I recommend Quality with return</v>
      </c>
    </row>
    <row r="524">
      <c r="A524" s="1">
        <v>5.0</v>
      </c>
      <c r="B524" s="1" t="s">
        <v>523</v>
      </c>
      <c r="C524" t="str">
        <f>IFERROR(__xludf.DUMMYFUNCTION("GOOGLETRANSLATE(B524, ""fr"", ""en"")"),"Beautiful dress Beautiful all that made sense as a Christmas gift. The colors are beautiful and the whole is physically consistent with the picture.")</f>
        <v>Beautiful dress Beautiful all that made sense as a Christmas gift. The colors are beautiful and the whole is physically consistent with the picture.</v>
      </c>
    </row>
    <row r="525">
      <c r="A525" s="1">
        <v>5.0</v>
      </c>
      <c r="B525" s="1" t="s">
        <v>524</v>
      </c>
      <c r="C525" t="str">
        <f>IFERROR(__xludf.DUMMYFUNCTION("GOOGLETRANSLATE(B525, ""fr"", ""en"")"),"Diffuser can connect Alexa or Google. I was looking forward to enjoy the benefits of essential oils. Super convenient with Alexa, easy to use with the recommended program for the night can be programmed 1,3,6 hours, great !! I recommend. 👍")</f>
        <v>Diffuser can connect Alexa or Google. I was looking forward to enjoy the benefits of essential oils. Super convenient with Alexa, easy to use with the recommended program for the night can be programmed 1,3,6 hours, great !! I recommend. 👍</v>
      </c>
    </row>
    <row r="526">
      <c r="A526" s="1">
        <v>5.0</v>
      </c>
      <c r="B526" s="1" t="s">
        <v>525</v>
      </c>
      <c r="C526" t="str">
        <f>IFERROR(__xludf.DUMMYFUNCTION("GOOGLETRANSLATE(B526, ""fr"", ""en"")"),"Very good very good, consider buying extra teats")</f>
        <v>Very good very good, consider buying extra teats</v>
      </c>
    </row>
    <row r="527">
      <c r="A527" s="1">
        <v>5.0</v>
      </c>
      <c r="B527" s="1" t="s">
        <v>526</v>
      </c>
      <c r="C527" t="str">
        <f>IFERROR(__xludf.DUMMYFUNCTION("GOOGLETRANSLATE(B527, ""fr"", ""en"")"),"Product solid practice for children and adults")</f>
        <v>Product solid practice for children and adults</v>
      </c>
    </row>
    <row r="528">
      <c r="A528" s="1">
        <v>5.0</v>
      </c>
      <c r="B528" s="1" t="s">
        <v>527</v>
      </c>
      <c r="C528" t="str">
        <f>IFERROR(__xludf.DUMMYFUNCTION("GOOGLETRANSLATE(B528, ""fr"", ""en"")"),"Excellent product Stunning really convenient and lovely .. I tried branded bottle brushes but it is the best rotary head price .. super thank you.")</f>
        <v>Excellent product Stunning really convenient and lovely .. I tried branded bottle brushes but it is the best rotary head price .. super thank you.</v>
      </c>
    </row>
    <row r="529">
      <c r="A529" s="1">
        <v>5.0</v>
      </c>
      <c r="B529" s="1" t="s">
        <v>528</v>
      </c>
      <c r="C529" t="str">
        <f>IFERROR(__xludf.DUMMYFUNCTION("GOOGLETRANSLATE(B529, ""fr"", ""en"")"),"Satisfy my heart reading The years range from 4 to 5 hours a night. lighting is unlikely: an LED lamp shows well, a bed lamp bulb whitens ... And never, despite all my tests, I found that good lighting is perfect, dimmable (white or yellow ). By buying, I"&amp;" did not expect much. The ability to adjust the intensity of light to the touch and to adjust the luminance ""hot"" (Light yellow and white) by orienting the rod in all directions; illumination sufficient for carrying out the various tasks under the bed f"&amp;"ire or office ... Finally, a frank and elegant light. Only happiness.")</f>
        <v>Satisfy my heart reading The years range from 4 to 5 hours a night. lighting is unlikely: an LED lamp shows well, a bed lamp bulb whitens ... And never, despite all my tests, I found that good lighting is perfect, dimmable (white or yellow ). By buying, I did not expect much. The ability to adjust the intensity of light to the touch and to adjust the luminance "hot" (Light yellow and white) by orienting the rod in all directions; illumination sufficient for carrying out the various tasks under the bed fire or office ... Finally, a frank and elegant light. Only happiness.</v>
      </c>
    </row>
    <row r="530">
      <c r="A530" s="1">
        <v>5.0</v>
      </c>
      <c r="B530" s="1" t="s">
        <v>529</v>
      </c>
      <c r="C530" t="str">
        <f>IFERROR(__xludf.DUMMYFUNCTION("GOOGLETRANSLATE(B530, ""fr"", ""en"")"),"Great extra product I recommend it 100%")</f>
        <v>Great extra product I recommend it 100%</v>
      </c>
    </row>
    <row r="531">
      <c r="A531" s="1">
        <v>5.0</v>
      </c>
      <c r="B531" s="1" t="s">
        <v>530</v>
      </c>
      <c r="C531" t="str">
        <f>IFERROR(__xludf.DUMMYFUNCTION("GOOGLETRANSLATE(B531, ""fr"", ""en"")"),"Good value for money Jai took a half size above typical of the brand and perfect size. identical color photo when buying")</f>
        <v>Good value for money Jai took a half size above typical of the brand and perfect size. identical color photo when buying</v>
      </c>
    </row>
    <row r="532">
      <c r="A532" s="1">
        <v>5.0</v>
      </c>
      <c r="B532" s="1" t="s">
        <v>531</v>
      </c>
      <c r="C532" t="str">
        <f>IFERROR(__xludf.DUMMYFUNCTION("GOOGLETRANSLATE(B532, ""fr"", ""en"")"),"Stickers Super children Product to develop creativity of our children my girls are delighted the stickers are of very good quality easy to take off and to handle for small hands there is really a very large amount and variety really cheap for what it ' is")</f>
        <v>Stickers Super children Product to develop creativity of our children my girls are delighted the stickers are of very good quality easy to take off and to handle for small hands there is really a very large amount and variety really cheap for what it ' is</v>
      </c>
    </row>
    <row r="533">
      <c r="A533" s="1">
        <v>5.0</v>
      </c>
      <c r="B533" s="1" t="s">
        <v>532</v>
      </c>
      <c r="C533" t="str">
        <f>IFERROR(__xludf.DUMMYFUNCTION("GOOGLETRANSLATE(B533, ""fr"", ""en"")"),"Great shoes. Nice and comfortable. Super nice and very comfortable. I recommend. I am glad.")</f>
        <v>Great shoes. Nice and comfortable. Super nice and very comfortable. I recommend. I am glad.</v>
      </c>
    </row>
    <row r="534">
      <c r="A534" s="1">
        <v>5.0</v>
      </c>
      <c r="B534" s="1" t="s">
        <v>533</v>
      </c>
      <c r="C534" t="str">
        <f>IFERROR(__xludf.DUMMYFUNCTION("GOOGLETRANSLATE(B534, ""fr"", ""en"")"),"Complies with RoHS description has my description, the slippers are soft and thin. They have the robust enough air for occasional use to know when there are guests.")</f>
        <v>Complies with RoHS description has my description, the slippers are soft and thin. They have the robust enough air for occasional use to know when there are guests.</v>
      </c>
    </row>
    <row r="535">
      <c r="A535" s="1">
        <v>5.0</v>
      </c>
      <c r="B535" s="1" t="s">
        <v>534</v>
      </c>
      <c r="C535" t="str">
        <f>IFERROR(__xludf.DUMMYFUNCTION("GOOGLETRANSLATE(B535, ""fr"", ""en"")"),"perfect it holds up in the immediate value for money")</f>
        <v>perfect it holds up in the immediate value for money</v>
      </c>
    </row>
    <row r="536">
      <c r="A536" s="1">
        <v>5.0</v>
      </c>
      <c r="B536" s="1" t="s">
        <v>535</v>
      </c>
      <c r="C536" t="str">
        <f>IFERROR(__xludf.DUMMYFUNCTION("GOOGLETRANSLATE(B536, ""fr"", ""en"")"),"Very good watch good shows G shock. Needles and digital display. Function pedometer, Bluetooth, support the application g shock connected to monitoring activities and the automatic time setting, or the world ... Big Timer more: phosphorescent needles visi"&amp;"ble in the dark and display lighting digital which allows to see the time in the dark unlike other brand models")</f>
        <v>Very good watch good shows G shock. Needles and digital display. Function pedometer, Bluetooth, support the application g shock connected to monitoring activities and the automatic time setting, or the world ... Big Timer more: phosphorescent needles visible in the dark and display lighting digital which allows to see the time in the dark unlike other brand models</v>
      </c>
    </row>
    <row r="537">
      <c r="A537" s="1">
        <v>2.0</v>
      </c>
      <c r="B537" s="1" t="s">
        <v>536</v>
      </c>
      <c r="C537" t="str">
        <f>IFERROR(__xludf.DUMMYFUNCTION("GOOGLETRANSLATE(B537, ""fr"", ""en"")"),"Game does not work! huge box for a game while pokey: 1 pen contains a mini-notebook and a rule of the game in a box of 30X30 cm !!!!! The pen has worked about 5 minutes and nothing. Big disappointment in the end")</f>
        <v>Game does not work! huge box for a game while pokey: 1 pen contains a mini-notebook and a rule of the game in a box of 30X30 cm !!!!! The pen has worked about 5 minutes and nothing. Big disappointment in the end</v>
      </c>
    </row>
    <row r="538">
      <c r="A538" s="1">
        <v>1.0</v>
      </c>
      <c r="B538" s="1" t="s">
        <v>537</v>
      </c>
      <c r="C538" t="str">
        <f>IFERROR(__xludf.DUMMYFUNCTION("GOOGLETRANSLATE(B538, ""fr"", ""en"")"),"From the uile I often buy peppermint and my last command it was just oil !!! Just be a few drops of mint? I am very disappointed especially when we do not know what's inside, I finished taking longer has this seller!")</f>
        <v>From the uile I often buy peppermint and my last command it was just oil !!! Just be a few drops of mint? I am very disappointed especially when we do not know what's inside, I finished taking longer has this seller!</v>
      </c>
    </row>
    <row r="539">
      <c r="A539" s="1">
        <v>1.0</v>
      </c>
      <c r="B539" s="1" t="s">
        <v>538</v>
      </c>
      <c r="C539" t="str">
        <f>IFERROR(__xludf.DUMMYFUNCTION("GOOGLETRANSLATE(B539, ""fr"", ""en"")"),"Product to avoid - only works a few weeks! Kettle leaking shortly after a 1st purchase. Returned for yet timely and exchanged. The second is still leaking out of time but after a month and a half. No turning back. Scandalous sale of obsolete equipment in "&amp;"a few weeks.")</f>
        <v>Product to avoid - only works a few weeks! Kettle leaking shortly after a 1st purchase. Returned for yet timely and exchanged. The second is still leaking out of time but after a month and a half. No turning back. Scandalous sale of obsolete equipment in a few weeks.</v>
      </c>
    </row>
    <row r="540">
      <c r="A540" s="1">
        <v>3.0</v>
      </c>
      <c r="B540" s="1" t="s">
        <v>539</v>
      </c>
      <c r="C540" t="str">
        <f>IFERROR(__xludf.DUMMYFUNCTION("GOOGLETRANSLATE(B540, ""fr"", ""en"")"),"Socks I received the article no say")</f>
        <v>Socks I received the article no say</v>
      </c>
    </row>
    <row r="541">
      <c r="A541" s="1">
        <v>4.0</v>
      </c>
      <c r="B541" s="1" t="s">
        <v>540</v>
      </c>
      <c r="C541" t="str">
        <f>IFERROR(__xludf.DUMMYFUNCTION("GOOGLETRANSLATE(B541, ""fr"", ""en"")"),"Super sweat too but unfortunately I took the M instead of S it is too big but still portable.")</f>
        <v>Super sweat too but unfortunately I took the M instead of S it is too big but still portable.</v>
      </c>
    </row>
    <row r="542">
      <c r="A542" s="1">
        <v>4.0</v>
      </c>
      <c r="B542" s="1" t="s">
        <v>541</v>
      </c>
      <c r="C542" t="str">
        <f>IFERROR(__xludf.DUMMYFUNCTION("GOOGLETRANSLATE(B542, ""fr"", ""en"")"),"Good good shoe very comfortable shoe, but heavy enough.")</f>
        <v>Good good shoe very comfortable shoe, but heavy enough.</v>
      </c>
    </row>
    <row r="543">
      <c r="A543" s="1">
        <v>4.0</v>
      </c>
      <c r="B543" s="1" t="s">
        <v>542</v>
      </c>
      <c r="C543" t="str">
        <f>IFERROR(__xludf.DUMMYFUNCTION("GOOGLETRANSLATE(B543, ""fr"", ""en"")"),"Quickly and effectively delivered in line with what I expected.")</f>
        <v>Quickly and effectively delivered in line with what I expected.</v>
      </c>
    </row>
    <row r="544">
      <c r="A544" s="1">
        <v>4.0</v>
      </c>
      <c r="B544" s="1" t="s">
        <v>543</v>
      </c>
      <c r="C544" t="str">
        <f>IFERROR(__xludf.DUMMYFUNCTION("GOOGLETRANSLATE(B544, ""fr"", ""en"")"),"Very well ! Very handy for filming without extension because the microphone wire is too short. The thickness of the wire makes me fear can but after three months of intensive uses no problems")</f>
        <v>Very well ! Very handy for filming without extension because the microphone wire is too short. The thickness of the wire makes me fear can but after three months of intensive uses no problems</v>
      </c>
    </row>
    <row r="545">
      <c r="A545" s="1">
        <v>5.0</v>
      </c>
      <c r="B545" s="1" t="s">
        <v>544</v>
      </c>
      <c r="C545" t="str">
        <f>IFERROR(__xludf.DUMMYFUNCTION("GOOGLETRANSLATE(B545, ""fr"", ""en"")"),"Solid, pretty cheap I use it every day (or so) and it is still like new after several months. So he is a bit small, but this is an advantage as a disadvantage: it depends on what you put in! For my part, phone, keys and car registration card and a packet "&amp;"of tissues in the front pocket. It's perfect !")</f>
        <v>Solid, pretty cheap I use it every day (or so) and it is still like new after several months. So he is a bit small, but this is an advantage as a disadvantage: it depends on what you put in! For my part, phone, keys and car registration card and a packet of tissues in the front pocket. It's perfect !</v>
      </c>
    </row>
    <row r="546">
      <c r="A546" s="1">
        <v>5.0</v>
      </c>
      <c r="B546" s="1" t="s">
        <v>545</v>
      </c>
      <c r="C546" t="str">
        <f>IFERROR(__xludf.DUMMYFUNCTION("GOOGLETRANSLATE(B546, ""fr"", ""en"")"),"comfortable solidity in addition to my sticks Nordic acquiring its Solomon for walking its just perfect for my program")</f>
        <v>comfortable solidity in addition to my sticks Nordic acquiring its Solomon for walking its just perfect for my program</v>
      </c>
    </row>
    <row r="547">
      <c r="A547" s="1">
        <v>5.0</v>
      </c>
      <c r="B547" s="1" t="s">
        <v>546</v>
      </c>
      <c r="C547" t="str">
        <f>IFERROR(__xludf.DUMMYFUNCTION("GOOGLETRANSLATE(B547, ""fr"", ""en"")"),"This carpet is really top 💜 Just Genial !! I settled myself 20 minutes a day for relaxation at 200%. Not obvious at first, the bottom pins bad but once accustomed think no more 😃")</f>
        <v>This carpet is really top 💜 Just Genial !! I settled myself 20 minutes a day for relaxation at 200%. Not obvious at first, the bottom pins bad but once accustomed think no more 😃</v>
      </c>
    </row>
    <row r="548">
      <c r="A548" s="1">
        <v>5.0</v>
      </c>
      <c r="B548" s="1" t="s">
        <v>547</v>
      </c>
      <c r="C548" t="str">
        <f>IFERROR(__xludf.DUMMYFUNCTION("GOOGLETRANSLATE(B548, ""fr"", ""en"")"),"Good quality printing An ink cartridge is used to print! Nothing more to say...")</f>
        <v>Good quality printing An ink cartridge is used to print! Nothing more to say...</v>
      </c>
    </row>
    <row r="549">
      <c r="A549" s="1">
        <v>5.0</v>
      </c>
      <c r="B549" s="1" t="s">
        <v>548</v>
      </c>
      <c r="C549" t="str">
        <f>IFERROR(__xludf.DUMMYFUNCTION("GOOGLETRANSLATE(B549, ""fr"", ""en"")"),"Perfect product quality")</f>
        <v>Perfect product quality</v>
      </c>
    </row>
    <row r="550">
      <c r="A550" s="1">
        <v>5.0</v>
      </c>
      <c r="B550" s="1" t="s">
        <v>549</v>
      </c>
      <c r="C550" t="str">
        <f>IFERROR(__xludf.DUMMYFUNCTION("GOOGLETRANSLATE(B550, ""fr"", ""en"")"),"Génialissime !!! I was really skeptical and fortunately I relied on customer comments. It's just great! I really had the feeling someone was massaging me ... 9 months pregnant I hurt everywhere 🤣 and happiness .... the ""&amp; nbsp; &amp; nbsp handles;"" are wel"&amp;"l made and very pleasant to move the camera on the desired areas. To see in the term but for now it's flawless for me. Not to mention the delivery 1 day 10 days Christmas! Bravo.")</f>
        <v>Génialissime !!! I was really skeptical and fortunately I relied on customer comments. It's just great! I really had the feeling someone was massaging me ... 9 months pregnant I hurt everywhere 🤣 and happiness .... the "&amp; nbsp; &amp; nbsp handles;" are well made and very pleasant to move the camera on the desired areas. To see in the term but for now it's flawless for me. Not to mention the delivery 1 day 10 days Christmas! Bravo.</v>
      </c>
    </row>
    <row r="551">
      <c r="A551" s="1">
        <v>5.0</v>
      </c>
      <c r="B551" s="1" t="s">
        <v>550</v>
      </c>
      <c r="C551" t="str">
        <f>IFERROR(__xludf.DUMMYFUNCTION("GOOGLETRANSLATE(B551, ""fr"", ""en"")"),"glad my husband leaves them more! nice, comfortable, practical, leather above is dressed, the size was right. Top!")</f>
        <v>glad my husband leaves them more! nice, comfortable, practical, leather above is dressed, the size was right. Top!</v>
      </c>
    </row>
    <row r="552">
      <c r="A552" s="1">
        <v>5.0</v>
      </c>
      <c r="B552" s="1" t="s">
        <v>551</v>
      </c>
      <c r="C552" t="str">
        <f>IFERROR(__xludf.DUMMYFUNCTION("GOOGLETRANSLATE(B552, ""fr"", ""en"")"),"Practical and discreet They are the expectations of someone looking invisible socks, it's perfect.")</f>
        <v>Practical and discreet They are the expectations of someone looking invisible socks, it's perfect.</v>
      </c>
    </row>
    <row r="553">
      <c r="A553" s="1">
        <v>5.0</v>
      </c>
      <c r="B553" s="1" t="s">
        <v>552</v>
      </c>
      <c r="C553" t="str">
        <f>IFERROR(__xludf.DUMMYFUNCTION("GOOGLETRANSLATE(B553, ""fr"", ""en"")"),"No leaks! A bottle almost perfect with an innovative clip system need to screw the nipple can shake the bottle without leakage")</f>
        <v>No leaks! A bottle almost perfect with an innovative clip system need to screw the nipple can shake the bottle without leakage</v>
      </c>
    </row>
    <row r="554">
      <c r="A554" s="1">
        <v>5.0</v>
      </c>
      <c r="B554" s="1" t="s">
        <v>553</v>
      </c>
      <c r="C554" t="str">
        <f>IFERROR(__xludf.DUMMYFUNCTION("GOOGLETRANSLATE(B554, ""fr"", ""en"")"),"I recommend this product Good product")</f>
        <v>I recommend this product Good product</v>
      </c>
    </row>
    <row r="555">
      <c r="A555" s="1">
        <v>5.0</v>
      </c>
      <c r="B555" s="1" t="s">
        <v>554</v>
      </c>
      <c r="C555" t="str">
        <f>IFERROR(__xludf.DUMMYFUNCTION("GOOGLETRANSLATE(B555, ""fr"", ""en"")"),"Pretty fancy jewel form, plus he did a little discreet noise when moving.")</f>
        <v>Pretty fancy jewel form, plus he did a little discreet noise when moving.</v>
      </c>
    </row>
    <row r="556">
      <c r="A556" s="1">
        <v>5.0</v>
      </c>
      <c r="B556" s="1" t="s">
        <v>555</v>
      </c>
      <c r="C556" t="str">
        <f>IFERROR(__xludf.DUMMYFUNCTION("GOOGLETRANSLATE(B556, ""fr"", ""en"")"),"Pretty section Same as the photo received in advance")</f>
        <v>Pretty section Same as the photo received in advance</v>
      </c>
    </row>
    <row r="557">
      <c r="A557" s="1">
        <v>5.0</v>
      </c>
      <c r="B557" s="1" t="s">
        <v>556</v>
      </c>
      <c r="C557" t="str">
        <f>IFERROR(__xludf.DUMMYFUNCTION("GOOGLETRANSLATE(B557, ""fr"", ""en"")"),"Bon.rapport price / quality Nothing to say. Not hole after 3 use to do with time")</f>
        <v>Bon.rapport price / quality Nothing to say. Not hole after 3 use to do with time</v>
      </c>
    </row>
    <row r="558">
      <c r="A558" s="1">
        <v>5.0</v>
      </c>
      <c r="B558" s="1" t="s">
        <v>557</v>
      </c>
      <c r="C558" t="str">
        <f>IFERROR(__xludf.DUMMYFUNCTION("GOOGLETRANSLATE(B558, ""fr"", ""en"")"),"Impeccable fit for purpose")</f>
        <v>Impeccable fit for purpose</v>
      </c>
    </row>
    <row r="559">
      <c r="A559" s="1">
        <v>5.0</v>
      </c>
      <c r="B559" s="1" t="s">
        <v>558</v>
      </c>
      <c r="C559" t="str">
        <f>IFERROR(__xludf.DUMMYFUNCTION("GOOGLETRANSLATE(B559, ""fr"", ""en"")"),"Comfortable to wear sports socks, so thick enough, but comfortable to wear, reinforced under the plant, with a good price / quality ratio and timely delivery.")</f>
        <v>Comfortable to wear sports socks, so thick enough, but comfortable to wear, reinforced under the plant, with a good price / quality ratio and timely delivery.</v>
      </c>
    </row>
    <row r="560">
      <c r="A560" s="1">
        <v>5.0</v>
      </c>
      <c r="B560" s="1" t="s">
        <v>559</v>
      </c>
      <c r="C560" t="str">
        <f>IFERROR(__xludf.DUMMYFUNCTION("GOOGLETRANSLATE(B560, ""fr"", ""en"")"),"Perfect Everything is perfect for me, the discreet side wrist, metal bracelet, all the dial lighting, date, time in 24 hour format. Perfect !")</f>
        <v>Perfect Everything is perfect for me, the discreet side wrist, metal bracelet, all the dial lighting, date, time in 24 hour format. Perfect !</v>
      </c>
    </row>
    <row r="561">
      <c r="A561" s="1">
        <v>2.0</v>
      </c>
      <c r="B561" s="1" t="s">
        <v>560</v>
      </c>
      <c r="C561" t="str">
        <f>IFERROR(__xludf.DUMMYFUNCTION("GOOGLETRANSLATE(B561, ""fr"", ""en"")"),"Not terrible terrible ... Well, let's say for someone who listens to his music without being too demanding it is a good mobile headset. By cons, if you want a clear and full sound it will go your way ... The noise reduction is uncomfortable and helmet gre"&amp;"en head a bit ... Since I bought a great brand and its no photo ... not ... His forgiveness")</f>
        <v>Not terrible terrible ... Well, let's say for someone who listens to his music without being too demanding it is a good mobile headset. By cons, if you want a clear and full sound it will go your way ... The noise reduction is uncomfortable and helmet green head a bit ... Since I bought a great brand and its no photo ... not ... His forgiveness</v>
      </c>
    </row>
    <row r="562">
      <c r="A562" s="1">
        <v>1.0</v>
      </c>
      <c r="B562" s="1" t="s">
        <v>561</v>
      </c>
      <c r="C562" t="str">
        <f>IFERROR(__xludf.DUMMYFUNCTION("GOOGLETRANSLATE(B562, ""fr"", ""en"")"),"poor product quality does not conform to photos Product photos and not in accordance with the zipper has weathered a few days .... I would like to repay this poor product")</f>
        <v>poor product quality does not conform to photos Product photos and not in accordance with the zipper has weathered a few days .... I would like to repay this poor product</v>
      </c>
    </row>
    <row r="563">
      <c r="A563" s="1">
        <v>3.0</v>
      </c>
      <c r="B563" s="1" t="s">
        <v>562</v>
      </c>
      <c r="C563" t="str">
        <f>IFERROR(__xludf.DUMMYFUNCTION("GOOGLETRANSLATE(B563, ""fr"", ""en"")"),"Try before you buy if you can ... The turning point massage fashion continuous bottom up and top down is intolerable. The vibrating mode just targeting distinct zones is fine. I did have may not be purchased if I had tried before but I'm with.")</f>
        <v>Try before you buy if you can ... The turning point massage fashion continuous bottom up and top down is intolerable. The vibrating mode just targeting distinct zones is fine. I did have may not be purchased if I had tried before but I'm with.</v>
      </c>
    </row>
    <row r="564">
      <c r="A564" s="1">
        <v>3.0</v>
      </c>
      <c r="B564" s="1" t="s">
        <v>563</v>
      </c>
      <c r="C564" t="str">
        <f>IFERROR(__xludf.DUMMYFUNCTION("GOOGLETRANSLATE(B564, ""fr"", ""en"")"),"Good quality / price Ai ordered the teats because I took the Natural kit with 4 bottles (2 large and 2 small) and large come with two holes. My daughter has a tendency to drink quickly and I preferred to first on age dummies 4.")</f>
        <v>Good quality / price Ai ordered the teats because I took the Natural kit with 4 bottles (2 large and 2 small) and large come with two holes. My daughter has a tendency to drink quickly and I preferred to first on age dummies 4.</v>
      </c>
    </row>
    <row r="565">
      <c r="A565" s="1">
        <v>4.0</v>
      </c>
      <c r="B565" s="1" t="s">
        <v>564</v>
      </c>
      <c r="C565" t="str">
        <f>IFERROR(__xludf.DUMMYFUNCTION("GOOGLETRANSLATE(B565, ""fr"", ""en"")"),"Proper Agenda Agenda okay given its price, only 4 stars because I think the place to write is really small so if it's for use for work, better to take a superior model. For the rest, well done job!")</f>
        <v>Proper Agenda Agenda okay given its price, only 4 stars because I think the place to write is really small so if it's for use for work, better to take a superior model. For the rest, well done job!</v>
      </c>
    </row>
    <row r="566">
      <c r="A566" s="1">
        <v>4.0</v>
      </c>
      <c r="B566" s="1" t="s">
        <v>565</v>
      </c>
      <c r="C566" t="str">
        <f>IFERROR(__xludf.DUMMYFUNCTION("GOOGLETRANSLATE(B566, ""fr"", ""en"")"),"ras compliant product and delivery as expected, no complaints")</f>
        <v>ras compliant product and delivery as expected, no complaints</v>
      </c>
    </row>
    <row r="567">
      <c r="A567" s="1">
        <v>4.0</v>
      </c>
      <c r="B567" s="1" t="s">
        <v>566</v>
      </c>
      <c r="C567" t="str">
        <f>IFERROR(__xludf.DUMMYFUNCTION("GOOGLETRANSLATE(B567, ""fr"", ""en"")"),"A good Tchoupi Even if your child does not instantly go on the potty after reading this Tchoupi, this book will at least have the merit of the question and to reassure on this funny thing where he was asked to sit asking him to pee in. If Tchoupi go, then"&amp;" it's fine. Especially that Dad is very Tchoupi teacher.")</f>
        <v>A good Tchoupi Even if your child does not instantly go on the potty after reading this Tchoupi, this book will at least have the merit of the question and to reassure on this funny thing where he was asked to sit asking him to pee in. If Tchoupi go, then it's fine. Especially that Dad is very Tchoupi teacher.</v>
      </c>
    </row>
    <row r="568">
      <c r="A568" s="1">
        <v>4.0</v>
      </c>
      <c r="B568" s="1" t="s">
        <v>567</v>
      </c>
      <c r="C568" t="str">
        <f>IFERROR(__xludf.DUMMYFUNCTION("GOOGLETRANSLATE(B568, ""fr"", ""en"")"),"Beautiful Kettle It is a little more yellow than the picture but still very pretty. It is silent and aesthetics. I am very satisfied.")</f>
        <v>Beautiful Kettle It is a little more yellow than the picture but still very pretty. It is silent and aesthetics. I am very satisfied.</v>
      </c>
    </row>
    <row r="569">
      <c r="A569" s="1">
        <v>5.0</v>
      </c>
      <c r="B569" s="1" t="s">
        <v>568</v>
      </c>
      <c r="C569" t="str">
        <f>IFERROR(__xludf.DUMMYFUNCTION("GOOGLETRANSLATE(B569, ""fr"", ""en"")"),"Advent with no products Super surprise")</f>
        <v>Advent with no products Super surprise</v>
      </c>
    </row>
    <row r="570">
      <c r="A570" s="1">
        <v>5.0</v>
      </c>
      <c r="B570" s="1" t="s">
        <v>569</v>
      </c>
      <c r="C570" t="str">
        <f>IFERROR(__xludf.DUMMYFUNCTION("GOOGLETRANSLATE(B570, ""fr"", ""en"")"),"Very good and beautiful product &lt;div id = ""video-block-R1SB7ET34KGZ0E"" class = ""a-section-spacing-small in-spacing-top mini video-block""&gt; &lt;div tabindex = ""0"" class = ""airy airy-svg vmin-unsupported airy-skin-beacon ""style ="" background-color: rgb"&amp;" (0, 0, 0); position: relative; width: 100%; height: 100%; font-size: 0px; overflow: hidden; outline: none; ""&gt; &lt;div class ="" airy-renderer-container ""style ="" position: relative; height: 100%; width: 100%; ""&gt; &lt;video id ="" 15 ""preload ="" auto "" sr"&amp;"c = ""https://images-eu.ssl-images-amazon.com/images/I/81s2J7S9zpS.mp4"" style = ""position: absolute; left: 0px; top: 0px; overflow: hidden; height: 1px; width: 1px; ""&gt; &lt;/ video&gt; &lt;/ div&gt; &lt;div id ="" airy-slate-preload ""style ="" background-color: rgb ("&amp;"0, 0, 0); background-image: url (&amp; quot; https : //images-eu.ssl-images-amazon.com/images/I/91uNG5f5YFS.png&amp;quot;); background-size: contain; background-position: center center; background-repeat: no-repeat; position: absolute; top: 0px; left: 0px; visibi"&amp;"lity: visible; width: 100%; height: 100% ""&gt; &lt;/ div&gt; &lt;ifram e scrolling = ""no"" frameborder = ""0"" src = ""about: blank"" style = ""display: none;""&gt; &lt;/ iframe&gt; &lt;div tabindex = ""- 1"" class = ""airy-controls-container"" style = ""opacity: 0; visibility"&amp;": hidden; ""&gt; &lt;div tabindex ="" - 1 ""class ="" airy-screen-size-toggle airy-fullscreen ""&gt; &lt;/ div&gt; &lt;div tabindex ="" - 1 ""class ="" airy-container-bottom "" &gt; &lt;div tabindex = ""- 1"" class = ""airy-track-bar spacer-left"" style = ""width: 11px;""&gt; &lt;/ di"&amp;"v&gt; &lt;div tabindex = ""- 1"" class = ""airy-play- toggle airy-play ""style ="" width: 12px; margin-right: 12px; ""&gt; &lt;/ div&gt; &lt;div tabindex ="" - 1 ""class ="" airy-audio-elements ""style ="" float: right; width: 34px; ""&gt; &lt;div tabindex ="" - 1 ""class ="" ai"&amp;"ry-audio-toggle airy-on ""&gt; &lt;/ div&gt; &lt;div tabindex ="" - 1 ""class ="" airy-audio-container ""style = ""opacity: 0; visibility: hidden; ""&gt; &lt;div tabindex ="" - 1 ""class ="" airy-audio-track-bar ""style ="" height: 80%; ""&gt; &lt;div tabindex ="" - 1 ""class ="&amp;""" airy-audio- scrubber bar ""style ="" height: 85% ""&gt; &lt;/ div&gt; &lt;div tabindex ="" - 1 ""class ="" airy-audio-scrubber ""style ="" height: 12px; bottom: 85% ""&gt; &lt;/ div&gt; &lt;/ div&gt; &lt;/ div&gt; &lt;/ div&gt; &lt;div tabindex ="" - 1 ""class ="" airy-duration-label ""style ="&amp;""" float: right; width: 26px; margin-right: 4px; text-align: center; ""&gt; 0:00 &lt;/ div&gt; &lt;div tabindex ="" - 1 ""class ="" airy-track-bar spacer-right ""style ="" float: right; width: 11px; ""&gt; &lt;/ div&gt; &lt;div tabindex ="" - 1 ""class ="" airy-track-bar-contain"&amp;"er ""style ="" margin-left: 35px; margin-right: 75px; ""&gt; &lt;div tabindex ="" - 1 ""class ="" airy-airy-track-bar vertical-centering-table ""&gt; &lt;div tabindex ="" - 1 ""class ="" airy-vertical-centering- table-cell ""&gt; &lt;div tabindex ="" - 1 ""class ="" airy-t"&amp;"rack-bar elements ""&gt; &lt;div tabindex ="" - 1 ""class ="" airy-progress bar ""&gt; &lt;/ div&gt; &lt;div tabindex = ""- 1"" class = ""airy-scrubber bar""&gt; &lt;/ div&gt; &lt;div tabindex = ""- 1"" class = ""airy-scrubber""&gt; &lt;div tabindex = ""- 1"" class = ""airy-scrubber- icon "&amp;"""&gt; &lt;/ div&gt; &lt;div tabindex ="" - 1 ""class ="" airy-adjusted-aui-tooltip ""style ="" opacity: 0; visibility: hidden; ""&gt; &lt;div tabindex ="" - 1 ""class ="" airy-adjusted-aui-tooltip-inner ""&gt; &lt;div tabindex ="" - 1 ""class ="" airy-current-time-label ""&gt; 0 0"&amp;"0 &lt;/ div&gt; &lt;/ div&gt; &lt;div tabindex = ""- 1"" class = ""airy-adjusted-aui-arrow-border""&gt; &lt;div tabindex = ""- 1"" class = ""airy-adjusted-aui-arrow"" &gt; &lt;/ div&gt; &lt;/ div&gt; &lt;/ div&gt; &lt;/ div&gt; &lt;/ div&gt; &lt;/ div&gt; &lt;/ div&gt; &lt;/ div&gt; &lt;/ div&gt; &lt;/ div&gt; &lt;div tabindex = ""- 1"" cla"&amp;"ss = ""airy-airy-age-gate course airy-vertical-centering table-airy-dialog"" style = ""opacity: 0; visibility: hidden; ""&gt; &lt;div tabindex ="" - 1 ""class ="" airy-age-gate-vertical-centering-table-cell airy-vertical-centering-table-cell ""&gt; &lt;div tabindex ="&amp;""" - 1 ""class = ""airy-vertical-centering-wrapper airy-age-gate-elements-wrapper""&gt; &lt;div tabindex = ""- 1"" class = ""airy-age-gate-elements airy-dialog-elements""&gt; &lt;div tabindex = "" -1 ""class ="" airy-age-gate-prompt ""&gt; This video is not Intended for"&amp;" all audiences What time were you born &lt;/ div&gt; &lt;div tabindex =.?"" - 1 ""class ="" airy-age-gate -inputs airy-dialog-inner-elements ""&gt; &lt;select tabindex ="" - 1 ""class ="" airy-age-gate-month ""&gt; &lt;option value ="" 1 ""&gt; January &lt;/ option&gt; &lt;option value ="&amp;""" 2 ""&gt; February &lt;/ option&gt; &lt;option value ="" 3 ""&gt; March &lt;/ option&gt; &lt;option value ="" 4 ""&gt; April &lt;/ option&gt; &lt;option value ="" 5 ""&gt; May &lt;/ option&gt; &lt;option value = ""6""&gt; June &lt;/ option&gt; &lt;option value = ""7""&gt; July &lt;/ option&gt; &lt;option value = ""8""&gt; Augu"&amp;"st &lt;/ option&gt; &lt;option value = ""9""&gt; September &lt;/ option&gt; &lt;option value = ""10""&gt; October &lt;/ option&gt; &lt;option value = ""11""&gt; November &lt;/ option&gt; &lt;option value = ""12""&gt; December &lt;/ option&gt; &lt;/ select&gt; &lt;select tabindex = ""- 1"" class = ""airy-age-gate-day"&amp;"""&gt; &lt;opti = One value ""1""&gt; 1 &lt;/ option&gt; &lt;option value = ""2""&gt; 2 &lt;/ option&gt; &lt;option value = ""3""&gt; 3 &lt;/ option&gt; &lt;option value = ""4""&gt; 4 &lt;/ option &gt; &lt;option value = ""5""&gt; 5 &lt;/ option&gt; &lt;option value = ""6""&gt; 6 &lt;/ option&gt; &lt;option value = ""7""&gt; 7 &lt;/ opti"&amp;"on&gt; &lt;option value = ""8""&gt; 8 &lt; / option&gt; &lt;option value = ""9""&gt; 9 &lt;/ option&gt; &lt;option value = ""10""&gt; 10 &lt;/ option&gt; &lt;option value = ""11""&gt; 11 &lt;/ option&gt; &lt;option value = ""12""&gt; 12 &lt;/ option&gt; &lt;option value = ""13""&gt; 13 &lt;/ option&gt; &lt;option value = ""14""&gt; 14"&amp;" &lt;/ option&gt; &lt;option value = ""15""&gt; 15 &lt;/ option&gt; &lt;option value = ""16 ""&gt; 16 &lt;/ option&gt; &lt;option value ="" 17 ""&gt; 17 &lt;/ option&gt; &lt;option value ="" 18 ""&gt; 18 &lt;/ option&gt; &lt;option value ="" 19 ""&gt; 19 &lt;/ option&gt; &lt;option value = ""20""&gt; 20 &lt;/ option&gt; &lt;option val"&amp;"ue = ""21""&gt; 21 &lt;/ option&gt; &lt;option value = ""22""&gt; 22 &lt;/ option&gt; &lt;option value = ""23""&gt; 23 &lt;/ option&gt; &lt;option value = ""24""&gt; 24 &lt;/ option&gt; &lt;option value = ""25""&gt; 25 &lt;/ option&gt; &lt;option value = ""26""&gt; 26 &lt;/ option&gt; &lt;option value = ""27""&gt; 27 &lt;/ option&gt; "&amp;"&lt;option value = ""28""&gt; 28 &lt;/ option&gt; &lt;option value = ""29""&gt; 29 &lt;/ option&gt; &lt;option value = ""30""&gt; 30 &lt;/ option&gt; &lt;option value = ""31""&gt; 31 &lt;/ option&gt; &lt;/ select&gt; &lt;select tabindex = ""- 1"" class = ""airy-age-gate-year""&gt; &lt;option value = ""2019""&gt; 2019 &lt;/"&amp;" option&gt; &lt; option value = ""2018""&gt; 2018 &lt;/ option&gt; &lt;option value = ""2017""&gt; 2017 &lt;/ option&gt; &lt;option value = ""2016""&gt; ​​2016 &lt;/ option&gt; &lt;option value = ""2015""&gt; 2015 &lt;/ option &gt; &lt;option value = ""2014""&gt; 2014 &lt;/ option&gt; &lt;option value = ""2013""&gt; 2013 &lt;"&amp;"/ option&gt; &lt;option value = ""2012""&gt; 2012 &lt;/ option&gt; &lt;option value = ""2011""&gt; 2011 &lt; / option&gt; &lt;option value = ""2010""&gt; 2010 &lt;/ option&gt; &lt;option value = ""2009""&gt; 2009 &lt;/ option&gt; &lt;option value = ""2008""&gt; 2008 &lt;/ option&gt; &lt;option value = ""2007""&gt; 2007 &lt;/ "&amp;"option&gt; &lt;option value = ""2006""&gt; 2006 &lt;/ option&gt; &lt;option value = ""2005""&gt; 2005 &lt;/ option&gt; &lt;option value = ""2004""&gt; 2004 &lt;/ option&gt; &lt;option value = ""2003 ""&gt; 2003 &lt;/ option&gt; &lt;option value ="" 2002 ""&gt; 2002 &lt;/ option&gt; &lt;option value ="" 2001 ""&gt; 2001 &lt;/ "&amp;"option&gt; &lt;option value ="" 2000 ""&gt; 2000 &lt;/ option&gt; &lt;option value = ""1999""&gt; 1999 &lt;/ option&gt; &lt;option value = ""1998""&gt; 1998 &lt;/ option&gt; &lt;option value = ""1997""&gt; 1997 &lt;/ option&gt; &lt;option value = ""1996""&gt; 1996 &lt;/ option&gt; &lt;option value = ""1995""&gt; 1995 &lt;/ op"&amp;"tion&gt; &lt;option value = ""1994""&gt; 1994 &lt;/ option&gt; &lt;option value = ""1993""&gt; 1993 &lt;/ option&gt; &lt;option value = ""1992""&gt; 1992 &lt;/ option&gt; &lt;option value = ""1991""&gt; 1991 &lt;/ option&gt; &lt;option value = ""1990""&gt; 1990 &lt;/ option&gt; &lt;option value = "" 1989 ""&gt; 1989 &lt;/ opt"&amp;"ion&gt; &lt;option value ="" 1988 ""&gt; 1988 &lt;/ option&gt; &lt;option value ="" 1987 ""&gt; 1987 &lt;/ option&gt; &lt;option value ="" 1986 ""&gt; 1986 &lt;/ option&gt; &lt;option value = ""1985""&gt; 1985 &lt;/ option&gt; &lt;option value = ""1984""&gt; 1984 &lt;/ option&gt; &lt;option value = ""1983""&gt; 1983 &lt;/ opt"&amp;"ion&gt; &lt;option value = ""1982""&gt; 1982 &lt;/ option&gt; &lt; option value = ""1981""&gt; 1981 &lt;/ option&gt; &lt;option value = ""1980""&gt; 1980 &lt;/ option&gt; &lt;option value = ""1979""&gt; 1979 &lt;/ option&gt; &lt;option value = ""1978""&gt; 1978 &lt;/ option &gt; &lt;option value = ""1977""&gt; 1977 &lt;/ opti"&amp;"on&gt; &lt;option value = ""1976""&gt; 1976 &lt;/ option&gt; &lt;option value = ""1975""&gt; 1975 &lt;/ option&gt; &lt;option value = ""1974""&gt; 1974 &lt; / option&gt; &lt;option value = ""1973""&gt; 1973 &lt;/ option&gt; &lt;option value = ""1972""&gt; 1972 &lt;/ option&gt; &lt;option value = ""1971""&gt; 1971 &lt;/ option"&amp;"&gt; &lt;option value = ""1970""&gt; 1970 &lt;/ option&gt; &lt;option value = ""1969""&gt; 1969 &lt;/ option&gt; &lt;option value = ""1968""&gt; 1968 &lt;/ option&gt; &lt;option value = ""1967""&gt; 1967 &lt;/ option&gt; &lt;option value = ""1966 ""&gt; 1966 &lt;/ option&gt; &lt;option value ="" 1965 ""&gt; 1965 &lt;/ option&gt;"&amp;" &lt;option value ="" 1964 ""&gt; 1964 &lt;/ option&gt; &lt;option value ="" 1963 ""&gt; 1963 &lt;/ option&gt; &lt;option value = ""1962""&gt; 1962 &lt;/ option&gt; &lt;option value = ""1961""&gt; 1961 &lt;/ option&gt; &lt;option value = ""1960""&gt; 1960 &lt;/ op tion&gt; &lt;option value = ""1959""&gt; 1959 &lt;/ option&gt;"&amp;" &lt;option value = ""1958""&gt; 1958 &lt;/ option&gt; &lt;option value = ""1957""&gt; 1957 &lt;/ option&gt; &lt;option value = ""1956""&gt; 1956 &lt;/ option&gt; &lt;option value = ""1955""&gt; 1955 &lt;/ option&gt; &lt;option value = ""1954""&gt; 1954 &lt;/ option&gt; &lt;option value = ""1953""&gt; 1953 &lt;/ option&gt; &lt;o"&amp;"ption value = ""1952"" &gt; 1952 &lt;/ option&gt; &lt;option value = ""1951""&gt; 1951 &lt;/ option&gt; &lt;option value = ""1950""&gt; 1950 &lt;/ option&gt; &lt;option value = ""1949""&gt; 1949 &lt;/ option&gt; &lt;option value = "" 1948 ""&gt; 1948 &lt;/ option&gt; &lt;option value ="" 1947 ""&gt; 1947 &lt;/ option&gt; &lt;"&amp;"option value ="" 1946 ""&gt; 1946 &lt;/ option&gt; &lt;option value ="" 1945 ""&gt; 1945 &lt;/ option&gt; &lt;option value = ""1944""&gt; 1944 &lt;/ option&gt; &lt;option value = ""1943""&gt; 1943 &lt;/ option&gt; &lt;option value = ""1942""&gt; 1942 &lt;/ option&gt; &lt;option value = ""1941""&gt; 1941 &lt;/ option&gt; &lt; "&amp;"option value = ""1940""&gt; 1940 &lt;/ option&gt; &lt;option value = ""1939""&gt; 1939 &lt;/ option&gt; &lt;option value = ""1938""&gt; 1938 &lt;/ option&gt; &lt;option value = ""1937""&gt; 1937 &lt;/ option &gt; &lt;option value = ""1936""&gt; 1936 &lt;/ option&gt; &lt;option value = ""1935""&gt; 1935 &lt;/ option&gt; &lt;op"&amp;"tion value = ""1934""&gt; 1934 &lt;/ option&gt; &lt;option value = ""1933""&gt; 1933 &lt; / option&gt; &lt;option value = ""1932""&gt; 1932 &lt;/ option&gt; &lt;option value = ""1931""&gt; 1931 &lt;/ option&gt; &lt;option v alue = ""1930""&gt; 1930 &lt;/ option&gt; &lt;option value = ""1929""&gt; 1929 &lt;/ option&gt; &lt;opt"&amp;"ion value = ""1928""&gt; 1928 &lt;/ option&gt; &lt;option value = ""1927""&gt; 1927 &lt;/ option&gt; &lt;option value = ""1926""&gt; 1926 &lt;/ option&gt; &lt;option value = ""1925""&gt; 1925 &lt;/ option&gt; &lt;option value = ""1924""&gt; 1924 &lt;/ option&gt; &lt;option value = ""1923""&gt; 1923 &lt;/ option&gt; &lt;option"&amp;" value = ""1922""&gt; 1922 &lt;/ option&gt; &lt;option value = ""1921""&gt; 1921 &lt;/ option&gt; &lt;option value = ""1920""&gt; 1920 &lt;/ option&gt; &lt;option value = ""1919""&gt; 1919 &lt;/ option&gt; &lt;option value = ""1918""&gt; 1918 &lt;/ option&gt; &lt;option value = ""1917""&gt; 1917 &lt;/ option&gt; &lt;option va"&amp;"lue = ""1916""&gt; 1916 &lt;/ option&gt; &lt;option value = ""1915"" &gt; 1915 &lt;/ option&gt; &lt;option value = ""1914""&gt; 1914 &lt;/ option&gt; &lt;option value = ""1913""&gt; 1913 &lt;/ option&gt; &lt;option value = ""1912""&gt; 1912 &lt;/ option&gt; &lt;option value = "" 1911 ""&gt; 1911 &lt;/ option&gt; &lt;option va"&amp;"lue ="" 1910 ""&gt; 1910 &lt;/ option&gt; &lt;option value ="" 1909 ""&gt; 1909 &lt;/ option&gt; &lt;option value ="" 1908 ""&gt; 1908 &lt;/ option&gt; &lt;option value = ""1907""&gt; 1907 &lt;/ option&gt; &lt;option value = ""1906""&gt; 1906 &lt;/ option&gt; &lt;option value = ""1905""&gt; 1905 &lt;/ option&gt; &lt;option va"&amp;"lue = ""1904""&gt; 1904 &lt;/ option&gt; &lt; option value = ""1903""&gt; 1903 &lt;/ option&gt; &lt;option value = ""1902""&gt; 1902 &lt;/ option&gt; &lt;option value = ""1901""&gt; 19 01 &lt;/ option&gt; &lt;option value = ""1900""&gt; 1900 &lt;/ option&gt; &lt;/ select&gt; &lt;div tabindex = ""- 1"" class = ""airy-age"&amp;"-gate-submit airy-submit-button airy airy-submit- disabled ""&gt; Submit &lt;/ div&gt; &lt;/ div&gt; &lt;/ div&gt; &lt;/ div&gt; &lt;/ div&gt; &lt;/ div&gt; &lt;div tabindex ="" - 1 ""class ="" airy-install-flash-dialog airy-course airy -Vertical-centering-table dialog airy-airy-denied ""style ="&amp;""" opacity: 0; visibility: hidden; ""&gt; &lt;div tabindex ="" - 1 ""class ="" airy-install-flash-vertical-centering-table-cell airy-vertical-centering-table-cell ""&gt; &lt;div tabindex ="" - 1 ""class = ""airy-vertical-centering-wrapper airy-install-flash-elements-"&amp;"wrapper""&gt; &lt;div tabindex = ""- 1"" class = ""airy-install-flash-elements airy-dialog-elements""&gt; &lt;div tabindex = "" -1 ""class ="" airy-install-flash-prompt ""&gt; Adobe Flash Player is required to watch this video &lt;/ div&gt; &lt;div = tabindex."" - 1 ""class ="" "&amp;"airy-install-flash-button-wrapper airy -dialog-inner-elements ""&gt; &lt;div tabindex ="" - 1 ""class ="" airy-install-flash-button airy-button ""&gt; install Flash Player &lt;/ div&gt; &lt;/ div&gt; &lt;/ div&gt; &lt;/ div&gt; &lt;/ div&gt; &lt;/ div&gt; &lt;div tabindex = ""- 1"" class = ""airy-video"&amp;"-unsupported-dialog airy-course airy-vertical-centering table-airy-dialog airy-denied"" style = ""opacity: 0; visibility: hidden; ""&gt; &lt;div tabindex ="" - 1 ""class ="" airy-video-unsupported-vertical-centering-table-cell airy-vertical-centering-table-cell"&amp;" ""&gt; &lt;div tabindex ="" - 1 ""class = ""airy-vertical-centering-wrapper airy-video-unsupported-elements-wrapper""&gt; &lt;div tabindex = ""- 1"" class = ""airy-video-unsupported-elements airy-dialog-elements""&gt; &lt;div tabindex = "" -1 ""class ="" airy-video-unsupp"&amp;"orted-prompt ""&gt; &lt;/ div&gt; &lt;/ div&gt; &lt;/ div&gt; &lt;/ div&gt; &lt;/ div&gt; &lt;div tabindex ="" - 1 ""class ="" airy-loading- spinner-stage airy-stage ""&gt; &lt;div tabindex ="" - 1 ""class ="" airy-loading-spinner-vertical-centering-table-cell airy-vertical-centering-table-cell "&amp;"""&gt; &lt;div tabindex ="" - 1 ""class ="" airy-loading-spinner container airy-scalable-hint-container ""&gt; &lt;div tabindex ="" - 1 ""class ="" airy-loading-spinner-dummy airy-scalable-dummy ""&gt; &lt;/ div&gt; &lt; div tabindex = ""- 1"" class = ""airy-loading-spinner airy"&amp;"-hint"" style = ""visibility: hidden;""&gt; &lt;/ div&gt; &lt;/ div&gt; &lt;/ div&gt; &lt;/ div&gt; &lt;div tabindex = ""- 1 ""class ="" airy-ads-screen-size-toggle airy-screen-size-toggle airy-fullscreen ""style ="" visibility: hidden; ""&gt; &lt;/ div&gt; &lt;div tabindex = ""-1"" class = ""air"&amp;"y-ad-prompt-container"" style = ""visibility: hidden;""&gt; &lt;div tabindex = ""- 1"" class = ""airy-ad-prompt-vertical-centering table-airy-vertical- centering-table ""&gt; &lt;div tabindex ="" - 1 ""class ="" airy-ad-prompt-vertical-centering-table-cell airy-verti"&amp;"cal-centering-table-cell ""&gt; &lt;div tabindex ="" - 1 ""class = ""airy-ad-prompt-label""&gt; &lt;/ div&gt; &lt;/ div&gt; &lt;/ div&gt; &lt;/ div&gt; &lt;div tabindex = ""- 1"" class = ""airy-ads-controls-container"" style = ""visibility: hidden; ""&gt; &lt;div tabindex ="" - 1 ""class ="" airy"&amp;"-ads-audio-toggle airy-audio-toggle airy-on ""style ="" visibility: hidden; ""&gt; &lt;/ div&gt; &lt;div tabindex ="" - 1 ""class ="" airy-time-remaining-label-container ""&gt; &lt;div tabindex ="" - 1 ""class ="" airy-time-remaining-vertical-centering table-airy-vertical-"&amp;"centering-table ""&gt; &lt;div tabindex = ""- 1"" class = ""airy-time-remaining-vertical-centering-table-cell airy-vertical-centering-table-cell""&gt; &lt;div tabindex = ""- 1"" class = ""airy-vertical-centering-wrapper airy-time-remaining-label-wrapper ""&gt; &lt;div tabi"&amp;"ndex ="" - 1 ""class ="" airy-time-remaining-label ""style ="" visibility: hidden; ""&gt; &lt;/ div&gt; &lt;div tabi ndex = ""- 1"" class = ""airy-ad-skip"" style = ""visibility: hidden;""&gt; &lt;/ div&gt; &lt;div tabindex = ""- 1"" class = ""airy-ad-end"" style = ""visibility:"&amp;" hidden; ""&gt; &lt;/ div&gt; &lt;/ div&gt; &lt;/ div&gt; &lt;/ div&gt; &lt;/ div&gt; &lt;div tabindex ="" - 1 ""class ="" airy-learn-more ""style ="" visibility: hidden; ""&gt; &lt;/ div&gt; &lt;/ div&gt; &lt;div tabindex = ""- 1"" class = ""airy-play-toggle-hint-stage airy-course airy-cursor""&gt; &lt;div tabind"&amp;"ex = ""- 1"" class = ""airy-play -toggle-hint-vertical-centering-table-cell airy-vertical-centering-table-cell airy-cursor ""&gt; &lt;div tabindex ="" - 1 ""class ="" airy-play-toggle-hint-container airy-scalable- hint-container ""&gt; &lt;div tabindex ="" - 1 ""clas"&amp;"s ="" airy-play-toggle-hint-dummy airy-scalable-dummy ""&gt; &lt;/ div&gt; &lt;div tabindex ="" - 1 ""class ="" airy-play -toggle airy-hint-hint-hint airy-play ""style ="" opacity: 1; visibility: visible; ""&gt; &lt;/ div&gt; &lt;/ div&gt; &lt;/ div&gt; &lt;/ div&gt; &lt;div tabindex ="" - 1 ""cl"&amp;"ass ="" airy-replay-hint-stage airy-stage ""style ="" visibility: hidden ; ""&gt; &lt;div tabindex ="" - 1 ""class ="" airy-replay-hint-vertical-centering-table-cell airy-vertical-centering-table-cell airy-cursor ""&gt; &lt;div tabindex ="" - 1 ""class = ""airy-repla"&amp;"y-hint-container airy-scalable-hint-container""&gt; &lt;div tabindex = ""- 1"" class = ""airy-replay-hint-dummy airy-scalable-dummy""&gt; &lt;/ div&gt; &lt;div tabindex = ""- 1"" class = ""airy-replay-hint airy-hint""&gt; &lt;/ div&gt; &lt;/ div&gt; &lt;/ div&gt; &lt;/ div&gt; &lt;div tabindex = ""- 1"&amp;""" class = ""airy-autoplay-hint -stage airy-stage ""style ="" visibility: hidden; ""&gt; &lt;div tabindex ="" - 1 ""class ="" airy-autoplay-hint-vertical-centering-table-cell airy-vertical-centering-table-cell airy- cursor ""&gt; &lt;div tabindex ="" - 1 ""class ="" "&amp;"autoplay airy-airy-hint-container-scalable-hint-container ""&gt; &lt;div tabindex ="" - 1 ""class ="" airy-autoplay-hint-dummy airy- scalable-dummy ""&gt; &lt;/ div&gt; &lt;/ div&gt; &lt;/ div&gt; &lt;/ div&gt; &lt;/ div&gt; &lt;/ div&gt; &lt;input type ="" hidden ""name ="" ""value ="" https: // pictu"&amp;"res-eu .ssl-image amazon.com / images / I / 81s2J7S9zpS.mp4 ""Class ="" video-url ""&gt; &lt;input type ="" hidden ""name ="" ""value ="" https://images-eu.ssl-images-amazon.com/images/I/91uNG5f5YFS.png ""class ="" video-slate-img-url ""&gt; &amp; nbsp; Very beautiful"&amp;" necklace! It shines well! There is a good size! The chains are resistant! I recommend this necklace")</f>
        <v>Very good and beautiful product &lt;div id = "video-block-R1SB7ET34KGZ0E" class = "a-section-spacing-small in-spacing-top mini video-block"&gt; &lt;div tabindex = "0" class = "airy airy-svg vmin-unsupported airy-skin-beacon "style =" background-color: rgb (0, 0, 0); position: relative; width: 100%; height: 100%; font-size: 0px; overflow: hidden; outline: none; "&gt; &lt;div class =" airy-renderer-container "style =" position: relative; height: 100%; width: 100%; "&gt; &lt;video id =" 15 "preload =" auto " src = "https://images-eu.ssl-images-amazon.com/images/I/81s2J7S9zpS.mp4" style = "position: absolute; left: 0px; top: 0px; overflow: hidden; height: 1px; width: 1px; "&gt; &lt;/ video&gt; &lt;/ div&gt; &lt;div id =" airy-slate-preload "style =" background-color: rgb (0, 0, 0); background-image: url (&amp; quot; https : //images-eu.ssl-images-amazon.com/images/I/91uNG5f5YFS.png&amp;quot;); background-size: contain; background-position: center center; background-repeat: no-repeat; position: absolute; top: 0px; left: 0px; visibility: visible; width: 100%; height: 100% "&gt; &lt;/ div&gt; &lt;ifram e scrolling = "no" frameborder = "0" src = "about: blank" style = "display: none;"&gt; &lt;/ iframe&gt; &lt;div tabindex = "- 1" class = "airy-controls-container" style = "opacity: 0; visibility: hidden; "&gt; &lt;div tabindex =" - 1 "class =" airy-screen-size-toggle airy-fullscreen "&gt; &lt;/ div&gt; &lt;div tabindex =" - 1 "class =" airy-container-bottom " &gt; &lt;div tabindex = "- 1" class = "airy-track-bar spacer-left" style = "width: 11px;"&gt; &lt;/ div&gt; &lt;div tabindex = "- 1" class = "airy-play- toggle airy-play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 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 spacer-right "style =" float: right; width: 11px; "&gt; &lt;/ div&gt; &lt;div tabindex =" - 1 "class =" airy-track-bar-container "style =" margin-left: 35px; margin-right: 75px; "&gt; &lt;div tabindex =" - 1 "class =" airy-airy-track-bar vertical-centering-table "&gt; &lt;div tabindex =" - 1 "class =" airy-vertical-centering- table-cell "&gt; &lt;div tabindex =" - 1 "class =" airy-track-bar elements "&gt; &lt;div tabindex =" - 1 "class =" airy-progress bar "&gt; &lt;/ div&gt; &lt;div tabindex = "- 1" class = "airy-scrubber 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"airy-airy-age-gate course airy-vertical-centering table-airy-dialog"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time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 One value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&lt;option value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&lt;option value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&lt;option value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airy-course airy -Vertical-centering-table dialog airy-airy-denied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 tabindex." - 1 "class =" airy-install-flash-button-wrapper airy -dialog-inner-elements "&gt; &lt;div tabindex =" - 1 "class =" airy-install-flash-button airy-button "&gt; install Flash Player &lt;/ div&gt; &lt;/ div&gt; &lt;/ div&gt; &lt;/ div&gt; &lt;/ div&gt; &lt;/ div&gt; &lt;div tabindex = "- 1" class = "airy-video-unsupported-dialog airy-course airy-vertical-centering table-airy-dialog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 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 airy-fullscreen "style =" visibility: hidden; "&gt; &lt;/ div&gt; &lt;div tabindex = "-1" class = "airy-ad-prompt-container" style = "visibility: hidden;"&gt; &lt;div tabindex = "- 1" class = "airy-ad-prompt-vertical-centering table-airy-vertical-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 table-airy-vertical-centering-table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airy-course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 airy-hint-hint-hint airy-play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pictures-eu .ssl-image amazon.com / images / I / 81s2J7S9zpS.mp4 "Class =" video-url "&gt; &lt;input type =" hidden "name =" "value =" https://images-eu.ssl-images-amazon.com/images/I/91uNG5f5YFS.png "class =" video-slate-img-url "&gt; &amp; nbsp; Very beautiful necklace! It shines well! There is a good size! The chains are resistant! I recommend this necklace</v>
      </c>
    </row>
    <row r="571">
      <c r="A571" s="1">
        <v>5.0</v>
      </c>
      <c r="B571" s="1" t="s">
        <v>570</v>
      </c>
      <c r="C571" t="str">
        <f>IFERROR(__xludf.DUMMYFUNCTION("GOOGLETRANSLATE(B571, ""fr"", ""en"")"),"The best non-intra headphones These headphones are most pleasing to the ear which is amazing for non-ear. However they have little fragile look a but for the price this is understandable. I really advise because it is the most enjoyable to me.")</f>
        <v>The best non-intra headphones These headphones are most pleasing to the ear which is amazing for non-ear. However they have little fragile look a but for the price this is understandable. I really advise because it is the most enjoyable to me.</v>
      </c>
    </row>
    <row r="572">
      <c r="A572" s="1">
        <v>5.0</v>
      </c>
      <c r="B572" s="1" t="s">
        <v>571</v>
      </c>
      <c r="C572" t="str">
        <f>IFERROR(__xludf.DUMMYFUNCTION("GOOGLETRANSLATE(B572, ""fr"", ""en"")"),"happy beautiful quality not disappointed with against the size is large")</f>
        <v>happy beautiful quality not disappointed with against the size is large</v>
      </c>
    </row>
    <row r="573">
      <c r="A573" s="1">
        <v>5.0</v>
      </c>
      <c r="B573" s="1" t="s">
        <v>572</v>
      </c>
      <c r="C573" t="str">
        <f>IFERROR(__xludf.DUMMYFUNCTION("GOOGLETRANSLATE(B573, ""fr"", ""en"")"),"Delighted Delighted with my purchase very pretty normal shoes. Received quickly ordered a second time for my niece. I highly recommend")</f>
        <v>Delighted Delighted with my purchase very pretty normal shoes. Received quickly ordered a second time for my niece. I highly recommend</v>
      </c>
    </row>
    <row r="574">
      <c r="A574" s="1">
        <v>5.0</v>
      </c>
      <c r="B574" s="1" t="s">
        <v>573</v>
      </c>
      <c r="C574" t="str">
        <f>IFERROR(__xludf.DUMMYFUNCTION("GOOGLETRANSLATE(B574, ""fr"", ""en"")"),"Awesome !!! The sound is really good with these cables, very good product for the price. I'm happy with my purchase")</f>
        <v>Awesome !!! The sound is really good with these cables, very good product for the price. I'm happy with my purchase</v>
      </c>
    </row>
    <row r="575">
      <c r="A575" s="1">
        <v>5.0</v>
      </c>
      <c r="B575" s="1" t="s">
        <v>574</v>
      </c>
      <c r="C575" t="str">
        <f>IFERROR(__xludf.DUMMYFUNCTION("GOOGLETRANSLATE(B575, ""fr"", ""en"")"),"I recommended I chose these boots for the quality and I'm not disappointed with my son a bike it really fit for protection against solid and hush which is rare these days good support level ankle are a bit heavy but we made it")</f>
        <v>I recommended I chose these boots for the quality and I'm not disappointed with my son a bike it really fit for protection against solid and hush which is rare these days good support level ankle are a bit heavy but we made it</v>
      </c>
    </row>
    <row r="576">
      <c r="A576" s="1">
        <v>5.0</v>
      </c>
      <c r="B576" s="1" t="s">
        <v>575</v>
      </c>
      <c r="C576" t="str">
        <f>IFERROR(__xludf.DUMMYFUNCTION("GOOGLETRANSLATE(B576, ""fr"", ""en"")"),"The size corresponds to the 45 My son loves them. They are lightweight and well hold the foot. There is certainly better in terms of cushioning but he uses them daily.")</f>
        <v>The size corresponds to the 45 My son loves them. They are lightweight and well hold the foot. There is certainly better in terms of cushioning but he uses them daily.</v>
      </c>
    </row>
    <row r="577">
      <c r="A577" s="1">
        <v>5.0</v>
      </c>
      <c r="B577" s="1" t="s">
        <v>576</v>
      </c>
      <c r="C577" t="str">
        <f>IFERROR(__xludf.DUMMYFUNCTION("GOOGLETRANSLATE(B577, ""fr"", ""en"")"),"Control Order received today. Delivery and impeccable packaging. I use this product personally. For this order, there was no mailbox error, the better !!! Cordially !!!")</f>
        <v>Control Order received today. Delivery and impeccable packaging. I use this product personally. For this order, there was no mailbox error, the better !!! Cordially !!!</v>
      </c>
    </row>
    <row r="578">
      <c r="A578" s="1">
        <v>5.0</v>
      </c>
      <c r="B578" s="1" t="s">
        <v>577</v>
      </c>
      <c r="C578" t="str">
        <f>IFERROR(__xludf.DUMMYFUNCTION("GOOGLETRANSLATE(B578, ""fr"", ""en"")"),"Super My son learned to read in two weeks fesant the ief (home school) my son already conaissez certain syllables it is just reinforce with book and I took it 2 to 5 years 6 years we soon edmis in early September we start in November he is adept reading")</f>
        <v>Super My son learned to read in two weeks fesant the ief (home school) my son already conaissez certain syllables it is just reinforce with book and I took it 2 to 5 years 6 years we soon edmis in early September we start in November he is adept reading</v>
      </c>
    </row>
    <row r="579">
      <c r="A579" s="1">
        <v>5.0</v>
      </c>
      <c r="B579" s="1" t="s">
        <v>578</v>
      </c>
      <c r="C579" t="str">
        <f>IFERROR(__xludf.DUMMYFUNCTION("GOOGLETRANSLATE(B579, ""fr"", ""en"")"),"purchase cafetiere great product ds book a tightly protected works great I recommend it to any person in addition very convenient with its eternal filter")</f>
        <v>purchase cafetiere great product ds book a tightly protected works great I recommend it to any person in addition very convenient with its eternal filter</v>
      </c>
    </row>
    <row r="580">
      <c r="A580" s="1">
        <v>5.0</v>
      </c>
      <c r="B580" s="1" t="s">
        <v>579</v>
      </c>
      <c r="C580" t="str">
        <f>IFERROR(__xludf.DUMMYFUNCTION("GOOGLETRANSLATE(B580, ""fr"", ""en"")"),"Paper three layers This is a good product; convenient, the package is not too large, but there is enough roll to make it enough for about 20-30 days even with a small family which wastes a little paper.")</f>
        <v>Paper three layers This is a good product; convenient, the package is not too large, but there is enough roll to make it enough for about 20-30 days even with a small family which wastes a little paper.</v>
      </c>
    </row>
    <row r="581">
      <c r="A581" s="1">
        <v>5.0</v>
      </c>
      <c r="B581" s="1" t="s">
        <v>580</v>
      </c>
      <c r="C581" t="str">
        <f>IFERROR(__xludf.DUMMYFUNCTION("GOOGLETRANSLATE(B581, ""fr"", ""en"")"),"Perfect After over thirty years of loyal service I had to replace my wallet by it. The even better. Superb leather pouches superb, superb corner phone, superb snap hook for keys. I am delighted, delighted, thrilled!")</f>
        <v>Perfect After over thirty years of loyal service I had to replace my wallet by it. The even better. Superb leather pouches superb, superb corner phone, superb snap hook for keys. I am delighted, delighted, thrilled!</v>
      </c>
    </row>
    <row r="582">
      <c r="A582" s="1">
        <v>5.0</v>
      </c>
      <c r="B582" s="1" t="s">
        <v>581</v>
      </c>
      <c r="C582" t="str">
        <f>IFERROR(__xludf.DUMMYFUNCTION("GOOGLETRANSLATE(B582, ""fr"", ""en"")"),"Top Basketball very good very soft very light quality when walking Aesthetically speaking there is nothing to say they are very beautiful shoes I bought for sports indoors or run outside Take shoe size Delivery to top the day after my order")</f>
        <v>Top Basketball very good very soft very light quality when walking Aesthetically speaking there is nothing to say they are very beautiful shoes I bought for sports indoors or run outside Take shoe size Delivery to top the day after my order</v>
      </c>
    </row>
    <row r="583">
      <c r="A583" s="1">
        <v>5.0</v>
      </c>
      <c r="B583" s="1" t="s">
        <v>582</v>
      </c>
      <c r="C583" t="str">
        <f>IFERROR(__xludf.DUMMYFUNCTION("GOOGLETRANSLATE(B583, ""fr"", ""en"")"),"Not too bad average tightness")</f>
        <v>Not too bad average tightness</v>
      </c>
    </row>
    <row r="584">
      <c r="A584" s="1">
        <v>2.0</v>
      </c>
      <c r="B584" s="1" t="s">
        <v>583</v>
      </c>
      <c r="C584" t="str">
        <f>IFERROR(__xludf.DUMMYFUNCTION("GOOGLETRANSLATE(B584, ""fr"", ""en"")"),"Very disappointed disappointed by the quality and size")</f>
        <v>Very disappointed disappointed by the quality and size</v>
      </c>
    </row>
    <row r="585">
      <c r="A585" s="1">
        <v>1.0</v>
      </c>
      <c r="B585" s="1" t="s">
        <v>584</v>
      </c>
      <c r="C585" t="str">
        <f>IFERROR(__xludf.DUMMYFUNCTION("GOOGLETRANSLATE(B585, ""fr"", ""en"")"),"Very heavy Very heavy")</f>
        <v>Very heavy Very heavy</v>
      </c>
    </row>
    <row r="586">
      <c r="A586" s="1">
        <v>1.0</v>
      </c>
      <c r="B586" s="1" t="s">
        <v>585</v>
      </c>
      <c r="C586" t="str">
        <f>IFERROR(__xludf.DUMMYFUNCTION("GOOGLETRANSLATE(B586, ""fr"", ""en"")"),"No! Decline his inexplicable incomprehensible via two connections for headphones that worked so well and while I cherishes I highly recommend, I put a star but it should 0!")</f>
        <v>No! Decline his inexplicable incomprehensible via two connections for headphones that worked so well and while I cherishes I highly recommend, I put a star but it should 0!</v>
      </c>
    </row>
    <row r="587">
      <c r="A587" s="1">
        <v>3.0</v>
      </c>
      <c r="B587" s="1" t="s">
        <v>586</v>
      </c>
      <c r="C587" t="str">
        <f>IFERROR(__xludf.DUMMYFUNCTION("GOOGLETRANSLATE(B587, ""fr"", ""en"")"),"Size large sweater is nice by cons really large size.")</f>
        <v>Size large sweater is nice by cons really large size.</v>
      </c>
    </row>
    <row r="588">
      <c r="A588" s="1">
        <v>3.0</v>
      </c>
      <c r="B588" s="1" t="s">
        <v>587</v>
      </c>
      <c r="C588" t="str">
        <f>IFERROR(__xludf.DUMMYFUNCTION("GOOGLETRANSLATE(B588, ""fr"", ""en"")"),"Microwave OK - rotten for music Bought to make phone calls, perfect for this use (microwave OK) for cheap. Do not expect to hear the music with that !!! As much as my BW P3 and perfect, so this headset is zero, no grave, no acute, nothing.")</f>
        <v>Microwave OK - rotten for music Bought to make phone calls, perfect for this use (microwave OK) for cheap. Do not expect to hear the music with that !!! As much as my BW P3 and perfect, so this headset is zero, no grave, no acute, nothing.</v>
      </c>
    </row>
    <row r="589">
      <c r="A589" s="1">
        <v>4.0</v>
      </c>
      <c r="B589" s="1" t="s">
        <v>588</v>
      </c>
      <c r="C589" t="str">
        <f>IFERROR(__xludf.DUMMYFUNCTION("GOOGLETRANSLATE(B589, ""fr"", ""en"")"),"full birth kit, color connoted girl with this kit containing several bottles of different capacity and the bottlebrush for and teats, and little more, lollipop, you have something to get started with your baby (girl since the colors are pink and purple fo"&amp;"r girls, boys are entitled to blue!). everything is packaged in blister and in the end the price is right and cheaper than every utensil purchased separately.")</f>
        <v>full birth kit, color connoted girl with this kit containing several bottles of different capacity and the bottlebrush for and teats, and little more, lollipop, you have something to get started with your baby (girl since the colors are pink and purple for girls, boys are entitled to blue!). everything is packaged in blister and in the end the price is right and cheaper than every utensil purchased separately.</v>
      </c>
    </row>
    <row r="590">
      <c r="A590" s="1">
        <v>4.0</v>
      </c>
      <c r="B590" s="1" t="s">
        <v>589</v>
      </c>
      <c r="C590" t="str">
        <f>IFERROR(__xludf.DUMMYFUNCTION("GOOGLETRANSLATE(B590, ""fr"", ""en"")"),"Aesthetic and discreet Although she deserves to be slightly larger, wallet, keys and smartphone finds their place. Excellent value.")</f>
        <v>Aesthetic and discreet Although she deserves to be slightly larger, wallet, keys and smartphone finds their place. Excellent value.</v>
      </c>
    </row>
    <row r="591">
      <c r="A591" s="1">
        <v>4.0</v>
      </c>
      <c r="B591" s="1" t="s">
        <v>590</v>
      </c>
      <c r="C591" t="str">
        <f>IFERROR(__xludf.DUMMYFUNCTION("GOOGLETRANSLATE(B591, ""fr"", ""en"")"),"Although Good product")</f>
        <v>Although Good product</v>
      </c>
    </row>
    <row r="592">
      <c r="A592" s="1">
        <v>4.0</v>
      </c>
      <c r="B592" s="1" t="s">
        <v>591</v>
      </c>
      <c r="C592" t="str">
        <f>IFERROR(__xludf.DUMMYFUNCTION("GOOGLETRANSLATE(B592, ""fr"", ""en"")"),"A tea maker magnificent Honestly, she is beautiful and makes good tea. To hurry the morning who want to change their usual coffee, this is a good compromise that is now based on each because two big flaws of this tea maker are: From 1) capsules are really"&amp;" quite expensive. Ok, the leaves are whole, ok they are selected in the 5 most renowned regions for quality of production: Japan, India Sri Lanka, China, South Africa. The capsules are just rounded enough to allow a better brew. To buy especially during p"&amp;"romotions. 2) the machine recognizes the special capsules T. Ok, we have 35 varieties of teas, infusions, rooibos some facilities are organic, but it forces us to consume their teas that are not already given. For the rest, yes it is beautiful, compact, e"&amp;"asy to use, takes small cups as mugs, actually it is not very quiet but it is not the jackhammer. Supplied with 1 water filter 7 capsules. repairable guaranteed for 10 years by the manufacturer.")</f>
        <v>A tea maker magnificent Honestly, she is beautiful and makes good tea. To hurry the morning who want to change their usual coffee, this is a good compromise that is now based on each because two big flaws of this tea maker are: From 1) capsules are really quite expensive. Ok, the leaves are whole, ok they are selected in the 5 most renowned regions for quality of production: Japan, India Sri Lanka, China, South Africa. The capsules are just rounded enough to allow a better brew. To buy especially during promotions. 2) the machine recognizes the special capsules T. Ok, we have 35 varieties of teas, infusions, rooibos some facilities are organic, but it forces us to consume their teas that are not already given. For the rest, yes it is beautiful, compact, easy to use, takes small cups as mugs, actually it is not very quiet but it is not the jackhammer. Supplied with 1 water filter 7 capsules. repairable guaranteed for 10 years by the manufacturer.</v>
      </c>
    </row>
    <row r="593">
      <c r="A593" s="1">
        <v>4.0</v>
      </c>
      <c r="B593" s="1" t="s">
        <v>592</v>
      </c>
      <c r="C593" t="str">
        <f>IFERROR(__xludf.DUMMYFUNCTION("GOOGLETRANSLATE(B593, ""fr"", ""en"")"),"Paris 93 Good product")</f>
        <v>Paris 93 Good product</v>
      </c>
    </row>
    <row r="594">
      <c r="A594" s="1">
        <v>5.0</v>
      </c>
      <c r="B594" s="1" t="s">
        <v>593</v>
      </c>
      <c r="C594" t="str">
        <f>IFERROR(__xludf.DUMMYFUNCTION("GOOGLETRANSLATE(B594, ""fr"", ""en"")"),"Perfect Hello, consistent with the description, size is perfect to bring passport potte sheet map and even a small bottle of water! Very tough and the rain no worries! I recommend this article")</f>
        <v>Perfect Hello, consistent with the description, size is perfect to bring passport potte sheet map and even a small bottle of water! Very tough and the rain no worries! I recommend this article</v>
      </c>
    </row>
    <row r="595">
      <c r="A595" s="1">
        <v>5.0</v>
      </c>
      <c r="B595" s="1" t="s">
        <v>594</v>
      </c>
      <c r="C595" t="str">
        <f>IFERROR(__xludf.DUMMYFUNCTION("GOOGLETRANSLATE(B595, ""fr"", ""en"")"),"To provide good quality")</f>
        <v>To provide good quality</v>
      </c>
    </row>
    <row r="596">
      <c r="A596" s="1">
        <v>5.0</v>
      </c>
      <c r="B596" s="1" t="s">
        <v>595</v>
      </c>
      <c r="C596" t="str">
        <f>IFERROR(__xludf.DUMMYFUNCTION("GOOGLETRANSLATE(B596, ""fr"", ""en"")"),"perfect !! super fast delivery, product line with the picture! except as stated in a previous review, we wonder if it is not very good blatant imitations.éléments + or - relative to true. I say taratata! I do not think amazon supports such commerce.autant"&amp;" do their confiance.donc I'll ignore the (R) in less wear and etc ... as it should be my pair of converse!")</f>
        <v>perfect !! super fast delivery, product line with the picture! except as stated in a previous review, we wonder if it is not very good blatant imitations.éléments + or - relative to true. I say taratata! I do not think amazon supports such commerce.autant do their confiance.donc I'll ignore the (R) in less wear and etc ... as it should be my pair of converse!</v>
      </c>
    </row>
    <row r="597">
      <c r="A597" s="1">
        <v>5.0</v>
      </c>
      <c r="B597" s="1" t="s">
        <v>596</v>
      </c>
      <c r="C597" t="str">
        <f>IFERROR(__xludf.DUMMYFUNCTION("GOOGLETRANSLATE(B597, ""fr"", ""en"")"),"She is very discreet which is very suitable for the woman works")</f>
        <v>She is very discreet which is very suitable for the woman works</v>
      </c>
    </row>
    <row r="598">
      <c r="A598" s="1">
        <v>5.0</v>
      </c>
      <c r="B598" s="1" t="s">
        <v>597</v>
      </c>
      <c r="C598" t="str">
        <f>IFERROR(__xludf.DUMMYFUNCTION("GOOGLETRANSLATE(B598, ""fr"", ""en"")"),"super quality Excellent product !! the quality is to go !! you can buy eyes closed. In addition it is cheap")</f>
        <v>super quality Excellent product !! the quality is to go !! you can buy eyes closed. In addition it is cheap</v>
      </c>
    </row>
    <row r="599">
      <c r="A599" s="1">
        <v>5.0</v>
      </c>
      <c r="B599" s="1" t="s">
        <v>598</v>
      </c>
      <c r="C599" t="str">
        <f>IFERROR(__xludf.DUMMYFUNCTION("GOOGLETRANSLATE(B599, ""fr"", ""en"")"),"Very satisfied Trainers very nice and comfortable, the pair is consistent with the description, the size is perfect, delivery is fast and neat")</f>
        <v>Very satisfied Trainers very nice and comfortable, the pair is consistent with the description, the size is perfect, delivery is fast and neat</v>
      </c>
    </row>
    <row r="600">
      <c r="A600" s="1">
        <v>5.0</v>
      </c>
      <c r="B600" s="1" t="s">
        <v>599</v>
      </c>
      <c r="C600" t="str">
        <f>IFERROR(__xludf.DUMMYFUNCTION("GOOGLETRANSLATE(B600, ""fr"", ""en"")"),"Article very ""chic"" for this price beautiful design, fine workmanship. chic packaging, manual allows easy installation. The trimmings are easy and the sound quality. so OK")</f>
        <v>Article very "chic" for this price beautiful design, fine workmanship. chic packaging, manual allows easy installation. The trimmings are easy and the sound quality. so OK</v>
      </c>
    </row>
    <row r="601">
      <c r="A601" s="1">
        <v>5.0</v>
      </c>
      <c r="B601" s="1" t="s">
        <v>600</v>
      </c>
      <c r="C601" t="str">
        <f>IFERROR(__xludf.DUMMYFUNCTION("GOOGLETRANSLATE(B601, ""fr"", ""en"")"),"Top notch celebrities After searching and tried many brands, types of headsets, headphones, etc. I think I finally found my happiness. This headset is perfect. Lightweight, comfortable, solid, level and perfect sound. A small adjustment eq seems always ne"&amp;"cessary according to music played but it's pretty normal. The noise canceling is actually fashionable gadget, and brings nothing but a digital sound degradation. Better not turn it on, play on the eq and enjoy the music. RAS bluetooth hand, the pairing is"&amp;" done in 2 seconds and the sound quality is not adversely affected.")</f>
        <v>Top notch celebrities After searching and tried many brands, types of headsets, headphones, etc. I think I finally found my happiness. This headset is perfect. Lightweight, comfortable, solid, level and perfect sound. A small adjustment eq seems always necessary according to music played but it's pretty normal. The noise canceling is actually fashionable gadget, and brings nothing but a digital sound degradation. Better not turn it on, play on the eq and enjoy the music. RAS bluetooth hand, the pairing is done in 2 seconds and the sound quality is not adversely affected.</v>
      </c>
    </row>
    <row r="602">
      <c r="A602" s="1">
        <v>5.0</v>
      </c>
      <c r="B602" s="1" t="s">
        <v>601</v>
      </c>
      <c r="C602" t="str">
        <f>IFERROR(__xludf.DUMMYFUNCTION("GOOGLETRANSLATE(B602, ""fr"", ""en"")"),"Nothing wrong Corresponds to my expectations I use them with the Medela Symphony pulls, I have another bottle brand for my little boy. I have not tried their new Medela nipple I find it very expensive and mixed reviews.")</f>
        <v>Nothing wrong Corresponds to my expectations I use them with the Medela Symphony pulls, I have another bottle brand for my little boy. I have not tried their new Medela nipple I find it very expensive and mixed reviews.</v>
      </c>
    </row>
    <row r="603">
      <c r="A603" s="1">
        <v>5.0</v>
      </c>
      <c r="B603" s="1" t="s">
        <v>602</v>
      </c>
      <c r="C603" t="str">
        <f>IFERROR(__xludf.DUMMYFUNCTION("GOOGLETRANSLATE(B603, ""fr"", ""en"")"),"Excellent product. Hard tack. Despite some bad reviews complaining that the product does not stick because he does not catch fingers. We must tell them that this is not to stick his fingers, but everything else. So the Double Sided 3M is super powerful an"&amp;"d wise to use for the environment where it is very cold or very hot under the influence of UV rays. I recommend.")</f>
        <v>Excellent product. Hard tack. Despite some bad reviews complaining that the product does not stick because he does not catch fingers. We must tell them that this is not to stick his fingers, but everything else. So the Double Sided 3M is super powerful and wise to use for the environment where it is very cold or very hot under the influence of UV rays. I recommend.</v>
      </c>
    </row>
    <row r="604">
      <c r="A604" s="1">
        <v>5.0</v>
      </c>
      <c r="B604" s="1" t="s">
        <v>603</v>
      </c>
      <c r="C604" t="str">
        <f>IFERROR(__xludf.DUMMYFUNCTION("GOOGLETRANSLATE(B604, ""fr"", ""en"")"),"Finally great support that closes at front and keeps well the chest; My advice for those who can not close the regular support that close in the back")</f>
        <v>Finally great support that closes at front and keeps well the chest; My advice for those who can not close the regular support that close in the back</v>
      </c>
    </row>
    <row r="605">
      <c r="A605" s="1">
        <v>5.0</v>
      </c>
      <c r="B605" s="1" t="s">
        <v>604</v>
      </c>
      <c r="C605" t="str">
        <f>IFERROR(__xludf.DUMMYFUNCTION("GOOGLETRANSLATE(B605, ""fr"", ""en"")"),"Robust and stable Used with 2 screens of 24 inches, this arm is just great. And for a very competitive price. Easy to install. I recommand it")</f>
        <v>Robust and stable Used with 2 screens of 24 inches, this arm is just great. And for a very competitive price. Easy to install. I recommand it</v>
      </c>
    </row>
    <row r="606">
      <c r="A606" s="1">
        <v>5.0</v>
      </c>
      <c r="B606" s="1" t="s">
        <v>605</v>
      </c>
      <c r="C606" t="str">
        <f>IFERROR(__xludf.DUMMYFUNCTION("GOOGLETRANSLATE(B606, ""fr"", ""en"")"),"Perfect for kids helmets are perfect, with the adapter to listen to 2 at the same time, the sound is suitable for children and the delivery was very fast")</f>
        <v>Perfect for kids helmets are perfect, with the adapter to listen to 2 at the same time, the sound is suitable for children and the delivery was very fast</v>
      </c>
    </row>
    <row r="607">
      <c r="A607" s="1">
        <v>5.0</v>
      </c>
      <c r="B607" s="1" t="s">
        <v>606</v>
      </c>
      <c r="C607" t="str">
        <f>IFERROR(__xludf.DUMMYFUNCTION("GOOGLETRANSLATE(B607, ""fr"", ""en"")"),"Very satisfaying ! The product is suitable, in line with expectations. It was delivered in its box, with protections for routing in the best condition! I recommend without reservation: D")</f>
        <v>Very satisfaying ! The product is suitable, in line with expectations. It was delivered in its box, with protections for routing in the best condition! I recommend without reservation: D</v>
      </c>
    </row>
    <row r="608">
      <c r="A608" s="1">
        <v>5.0</v>
      </c>
      <c r="B608" s="1" t="s">
        <v>607</v>
      </c>
      <c r="C608" t="str">
        <f>IFERROR(__xludf.DUMMYFUNCTION("GOOGLETRANSLATE(B608, ""fr"", ""en"")"),"Very good price that is cheaper than in my Hypermarket. Lot interesting enough not to be short for a while. Very good quality, cut good when he's on his reel. Hidden on the gift wrap! ;)")</f>
        <v>Very good price that is cheaper than in my Hypermarket. Lot interesting enough not to be short for a while. Very good quality, cut good when he's on his reel. Hidden on the gift wrap! ;)</v>
      </c>
    </row>
    <row r="609">
      <c r="A609" s="1">
        <v>2.0</v>
      </c>
      <c r="B609" s="1" t="s">
        <v>608</v>
      </c>
      <c r="C609" t="str">
        <f>IFERROR(__xludf.DUMMYFUNCTION("GOOGLETRANSLATE(B609, ""fr"", ""en"")"),"Massage gel I was a bit scared when using this product which immediately provoked a reaction of intense burning. I threw it and do not recommend it.")</f>
        <v>Massage gel I was a bit scared when using this product which immediately provoked a reaction of intense burning. I threw it and do not recommend it.</v>
      </c>
    </row>
    <row r="610">
      <c r="A610" s="1">
        <v>1.0</v>
      </c>
      <c r="B610" s="1" t="s">
        <v>609</v>
      </c>
      <c r="C610" t="str">
        <f>IFERROR(__xludf.DUMMYFUNCTION("GOOGLETRANSLATE(B610, ""fr"", ""en"")"),"Very good product but error of size and shipment not respected Really a very good product and very good (my second pair), but there are even two yet! I ordered a size 41/42 ... and when opening the package size 39/40 ... so ... too small! I am a member .."&amp;". PRIME delivery scheduled for Saturday ... but ... receive the package on Tuesday!")</f>
        <v>Very good product but error of size and shipment not respected Really a very good product and very good (my second pair), but there are even two yet! I ordered a size 41/42 ... and when opening the package size 39/40 ... so ... too small! I am a member ... PRIME delivery scheduled for Saturday ... but ... receive the package on Tuesday!</v>
      </c>
    </row>
    <row r="611">
      <c r="A611" s="1">
        <v>1.0</v>
      </c>
      <c r="B611" s="1" t="s">
        <v>610</v>
      </c>
      <c r="C611" t="str">
        <f>IFERROR(__xludf.DUMMYFUNCTION("GOOGLETRANSLATE(B611, ""fr"", ""en"")"),"But pretty good taile and hurt a foot. I do not wear them. Pity. The right shoe hurts the right side of the foot.")</f>
        <v>But pretty good taile and hurt a foot. I do not wear them. Pity. The right shoe hurts the right side of the foot.</v>
      </c>
    </row>
    <row r="612">
      <c r="A612" s="1">
        <v>3.0</v>
      </c>
      <c r="B612" s="1" t="s">
        <v>611</v>
      </c>
      <c r="C612" t="str">
        <f>IFERROR(__xludf.DUMMYFUNCTION("GOOGLETRANSLATE(B612, ""fr"", ""en"")"),"Satisfied I recommend")</f>
        <v>Satisfied I recommend</v>
      </c>
    </row>
    <row r="613">
      <c r="A613" s="1">
        <v>3.0</v>
      </c>
      <c r="B613" s="1" t="s">
        <v>612</v>
      </c>
      <c r="C613" t="str">
        <f>IFERROR(__xludf.DUMMYFUNCTION("GOOGLETRANSLATE(B613, ""fr"", ""en"")"),"A little disappointed replaces my old awakening light (1 name) His faults: they cut the light when it is about to turn on mode ""awakening"" and the brightness is lost. No backup time in case of failure. If the sound is pleasant, the radio too. Very compa"&amp;"ct. And the hour digits light up so little mini that I do not mind at night (but suddenly not visible during the day ... BALO) In short, a good product but perfectible")</f>
        <v>A little disappointed replaces my old awakening light (1 name) His faults: they cut the light when it is about to turn on mode "awakening" and the brightness is lost. No backup time in case of failure. If the sound is pleasant, the radio too. Very compact. And the hour digits light up so little mini that I do not mind at night (but suddenly not visible during the day ... BALO) In short, a good product but perfectible</v>
      </c>
    </row>
    <row r="614">
      <c r="A614" s="1">
        <v>4.0</v>
      </c>
      <c r="B614" s="1" t="s">
        <v>613</v>
      </c>
      <c r="C614" t="str">
        <f>IFERROR(__xludf.DUMMYFUNCTION("GOOGLETRANSLATE(B614, ""fr"", ""en"")"),"Very comfortable helmet I have not a ""musical"" use proper. I use this headset to work and be able to cut me outside noise while enjoying a good quality sound. This is a very comfortable headset (no pressure point on the top of the skull). It includes gr"&amp;"eat ears but it should however be careful that it can exert slight pressure on the jaw. Worn easily all day.")</f>
        <v>Very comfortable helmet I have not a "musical" use proper. I use this headset to work and be able to cut me outside noise while enjoying a good quality sound. This is a very comfortable headset (no pressure point on the top of the skull). It includes great ears but it should however be careful that it can exert slight pressure on the jaw. Worn easily all day.</v>
      </c>
    </row>
    <row r="615">
      <c r="A615" s="1">
        <v>4.0</v>
      </c>
      <c r="B615" s="1" t="s">
        <v>614</v>
      </c>
      <c r="C615" t="str">
        <f>IFERROR(__xludf.DUMMYFUNCTION("GOOGLETRANSLATE(B615, ""fr"", ""en"")"),"Chausse small Ideal for walking but take a daughter above")</f>
        <v>Chausse small Ideal for walking but take a daughter above</v>
      </c>
    </row>
    <row r="616">
      <c r="A616" s="1">
        <v>4.0</v>
      </c>
      <c r="B616" s="1" t="s">
        <v>615</v>
      </c>
      <c r="C616" t="str">
        <f>IFERROR(__xludf.DUMMYFUNCTION("GOOGLETRANSLATE(B616, ""fr"", ""en"")"),"As sweater on color photo, shape, size, quality")</f>
        <v>As sweater on color photo, shape, size, quality</v>
      </c>
    </row>
    <row r="617">
      <c r="A617" s="1">
        <v>4.0</v>
      </c>
      <c r="B617" s="1" t="s">
        <v>616</v>
      </c>
      <c r="C617" t="str">
        <f>IFERROR(__xludf.DUMMYFUNCTION("GOOGLETRANSLATE(B617, ""fr"", ""en"")"),"good quality super comfortable")</f>
        <v>good quality super comfortable</v>
      </c>
    </row>
    <row r="618">
      <c r="A618" s="1">
        <v>5.0</v>
      </c>
      <c r="B618" s="1" t="s">
        <v>617</v>
      </c>
      <c r="C618" t="str">
        <f>IFERROR(__xludf.DUMMYFUNCTION("GOOGLETRANSLATE(B618, ""fr"", ""en"")"),"Value very good price Time can be easily read !! even if problems of view to recommend!")</f>
        <v>Value very good price Time can be easily read !! even if problems of view to recommend!</v>
      </c>
    </row>
    <row r="619">
      <c r="A619" s="1">
        <v>5.0</v>
      </c>
      <c r="B619" s="1" t="s">
        <v>618</v>
      </c>
      <c r="C619" t="str">
        <f>IFERROR(__xludf.DUMMYFUNCTION("GOOGLETRANSLATE(B619, ""fr"", ""en"")"),"Very nice and pretty fine")</f>
        <v>Very nice and pretty fine</v>
      </c>
    </row>
    <row r="620">
      <c r="A620" s="1">
        <v>5.0</v>
      </c>
      <c r="B620" s="1" t="s">
        <v>619</v>
      </c>
      <c r="C620" t="str">
        <f>IFERROR(__xludf.DUMMYFUNCTION("GOOGLETRANSLATE(B620, ""fr"", ""en"")"),"Good profitability super super jacket I make 38 = M but I took the L because I like to put a sweater underneath and it's perfect. The material is perfect and color and beautiful. The test machine was washed has validated the color is always the same and n"&amp;"o shrinkage. So great quality, great prices, and great color not regret buying I already reflected at the next color I'll take.")</f>
        <v>Good profitability super super jacket I make 38 = M but I took the L because I like to put a sweater underneath and it's perfect. The material is perfect and color and beautiful. The test machine was washed has validated the color is always the same and no shrinkage. So great quality, great prices, and great color not regret buying I already reflected at the next color I'll take.</v>
      </c>
    </row>
    <row r="621">
      <c r="A621" s="1">
        <v>5.0</v>
      </c>
      <c r="B621" s="1" t="s">
        <v>620</v>
      </c>
      <c r="C621" t="str">
        <f>IFERROR(__xludf.DUMMYFUNCTION("GOOGLETRANSLATE(B621, ""fr"", ""en"")"),"Thick socks perfect property that not squeeze the foot is soft finally sports socks atttention what they are fine")</f>
        <v>Thick socks perfect property that not squeeze the foot is soft finally sports socks atttention what they are fine</v>
      </c>
    </row>
    <row r="622">
      <c r="A622" s="1">
        <v>5.0</v>
      </c>
      <c r="B622" s="1" t="s">
        <v>621</v>
      </c>
      <c r="C622" t="str">
        <f>IFERROR(__xludf.DUMMYFUNCTION("GOOGLETRANSLATE(B622, ""fr"", ""en"")"),"Good value Very pleasant to the touch elastic practice")</f>
        <v>Good value Very pleasant to the touch elastic practice</v>
      </c>
    </row>
    <row r="623">
      <c r="A623" s="1">
        <v>5.0</v>
      </c>
      <c r="B623" s="1" t="s">
        <v>622</v>
      </c>
      <c r="C623" t="str">
        <f>IFERROR(__xludf.DUMMYFUNCTION("GOOGLETRANSLATE(B623, ""fr"", ""en"")"),"Large capacity without being imposing, practice and quality I bought this kit there is almost 1 year now for my little boy who had 6 months to carry his meals with the nanny. I am very satisfied especially in terms of the capacity. Initially, I did not kn"&amp;"ow what size to buy and I'm glad I took it because now he has 16 months (and still he eats like a glutton) I have room to put a bottle, a refill of milk, a jam jar (which contains his meal) + fruit + yogurt and a biscuit or bread slice, excluding the bib "&amp;"(right after there is more space). But this kit is perfect for us. It is flexible, has a handle to simply carry on without the air bag motorway eg. (It's lived), the interior is easy to clean, the colori is modern and our friends (parents too) think buyin"&amp;"g the same end. In short, you can go for it.")</f>
        <v>Large capacity without being imposing, practice and quality I bought this kit there is almost 1 year now for my little boy who had 6 months to carry his meals with the nanny. I am very satisfied especially in terms of the capacity. Initially, I did not know what size to buy and I'm glad I took it because now he has 16 months (and still he eats like a glutton) I have room to put a bottle, a refill of milk, a jam jar (which contains his meal) + fruit + yogurt and a biscuit or bread slice, excluding the bib (right after there is more space). But this kit is perfect for us. It is flexible, has a handle to simply carry on without the air bag motorway eg. (It's lived), the interior is easy to clean, the colori is modern and our friends (parents too) think buying the same end. In short, you can go for it.</v>
      </c>
    </row>
    <row r="624">
      <c r="A624" s="1">
        <v>5.0</v>
      </c>
      <c r="B624" s="1" t="s">
        <v>623</v>
      </c>
      <c r="C624" t="str">
        <f>IFERROR(__xludf.DUMMYFUNCTION("GOOGLETRANSLATE(B624, ""fr"", ""en"")"),"lightweight and comfortable sports and leisure, ideal for a small jogging ...")</f>
        <v>lightweight and comfortable sports and leisure, ideal for a small jogging ...</v>
      </c>
    </row>
    <row r="625">
      <c r="A625" s="1">
        <v>5.0</v>
      </c>
      <c r="B625" s="1" t="s">
        <v>624</v>
      </c>
      <c r="C625" t="str">
        <f>IFERROR(__xludf.DUMMYFUNCTION("GOOGLETRANSLATE(B625, ""fr"", ""en"")"),"The quality for a disabled person")</f>
        <v>The quality for a disabled person</v>
      </c>
    </row>
    <row r="626">
      <c r="A626" s="1">
        <v>5.0</v>
      </c>
      <c r="B626" s="1" t="s">
        <v>625</v>
      </c>
      <c r="C626" t="str">
        <f>IFERROR(__xludf.DUMMYFUNCTION("GOOGLETRANSLATE(B626, ""fr"", ""en"")"),"Awesome It's true that the first minutes of use you have the impression that the machine will crush us so the foot is compressed but not panic .. at the pain it is true that the first four fifteen time you feel your feet .. but honestly after two days of "&amp;"use by making four sessions of 15 minutes a day your feet are completely unwind .. So I recommend this machine to anyone who would like a massage feet as a real massage. So sensitive and fragile people in pain do not worry we must get used to but it's a g"&amp;"ood crazy. This is an excellent product that should not hesitate to buy !!")</f>
        <v>Awesome It's true that the first minutes of use you have the impression that the machine will crush us so the foot is compressed but not panic .. at the pain it is true that the first four fifteen time you feel your feet .. but honestly after two days of use by making four sessions of 15 minutes a day your feet are completely unwind .. So I recommend this machine to anyone who would like a massage feet as a real massage. So sensitive and fragile people in pain do not worry we must get used to but it's a good crazy. This is an excellent product that should not hesitate to buy !!</v>
      </c>
    </row>
    <row r="627">
      <c r="A627" s="1">
        <v>5.0</v>
      </c>
      <c r="B627" s="1" t="s">
        <v>626</v>
      </c>
      <c r="C627" t="str">
        <f>IFERROR(__xludf.DUMMYFUNCTION("GOOGLETRANSLATE(B627, ""fr"", ""en"")"),"Cable audio Acoustic speakers. This cable reel for connection of speakers is well made ......... The sheathing is flexible and strong ......... It is easily stripped. Suits me perfectly")</f>
        <v>Cable audio Acoustic speakers. This cable reel for connection of speakers is well made ......... The sheathing is flexible and strong ......... It is easily stripped. Suits me perfectly</v>
      </c>
    </row>
    <row r="628">
      <c r="A628" s="1">
        <v>5.0</v>
      </c>
      <c r="B628" s="1" t="s">
        <v>627</v>
      </c>
      <c r="C628" t="str">
        <f>IFERROR(__xludf.DUMMYFUNCTION("GOOGLETRANSLATE(B628, ""fr"", ""en"")"),"I recommend a classic nothing to say more")</f>
        <v>I recommend a classic nothing to say more</v>
      </c>
    </row>
    <row r="629">
      <c r="A629" s="1">
        <v>5.0</v>
      </c>
      <c r="B629" s="1" t="s">
        <v>628</v>
      </c>
      <c r="C629" t="str">
        <f>IFERROR(__xludf.DUMMYFUNCTION("GOOGLETRANSLATE(B629, ""fr"", ""en"")"),"Bottle top! The bottle is best for breastfeeding relay. Baby must still adapt because the suction force is different.")</f>
        <v>Bottle top! The bottle is best for breastfeeding relay. Baby must still adapt because the suction force is different.</v>
      </c>
    </row>
    <row r="630">
      <c r="A630" s="1">
        <v>5.0</v>
      </c>
      <c r="B630" s="1" t="s">
        <v>629</v>
      </c>
      <c r="C630" t="str">
        <f>IFERROR(__xludf.DUMMYFUNCTION("GOOGLETRANSLATE(B630, ""fr"", ""en"")"),"Very well ! Mass the scalp well. Pleasant.")</f>
        <v>Very well ! Mass the scalp well. Pleasant.</v>
      </c>
    </row>
    <row r="631">
      <c r="A631" s="1">
        <v>5.0</v>
      </c>
      <c r="B631" s="1" t="s">
        <v>630</v>
      </c>
      <c r="C631" t="str">
        <f>IFERROR(__xludf.DUMMYFUNCTION("GOOGLETRANSLATE(B631, ""fr"", ""en"")"),"Filter Anti-Pop Very good anti-pop filter that I bought along with my Bird UM1 and I am satisfied with the combo of both to make good videos.")</f>
        <v>Filter Anti-Pop Very good anti-pop filter that I bought along with my Bird UM1 and I am satisfied with the combo of both to make good videos.</v>
      </c>
    </row>
    <row r="632">
      <c r="A632" s="1">
        <v>5.0</v>
      </c>
      <c r="B632" s="1" t="s">
        <v>631</v>
      </c>
      <c r="C632" t="str">
        <f>IFERROR(__xludf.DUMMYFUNCTION("GOOGLETRANSLATE(B632, ""fr"", ""en"")"),"satisfied satisfied")</f>
        <v>satisfied satisfied</v>
      </c>
    </row>
    <row r="633">
      <c r="A633" s="1">
        <v>2.0</v>
      </c>
      <c r="B633" s="1" t="s">
        <v>632</v>
      </c>
      <c r="C633" t="str">
        <f>IFERROR(__xludf.DUMMYFUNCTION("GOOGLETRANSLATE(B633, ""fr"", ""en"")"),"87200 For the price I was expecting an embroidered logo With a printer and an iron, I can do the same")</f>
        <v>87200 For the price I was expecting an embroidered logo With a printer and an iron, I can do the same</v>
      </c>
    </row>
    <row r="634">
      <c r="A634" s="1">
        <v>1.0</v>
      </c>
      <c r="B634" s="1" t="s">
        <v>633</v>
      </c>
      <c r="C634" t="str">
        <f>IFERROR(__xludf.DUMMYFUNCTION("GOOGLETRANSLATE(B634, ""fr"", ""en"")"),"Poor Poor")</f>
        <v>Poor Poor</v>
      </c>
    </row>
    <row r="635">
      <c r="A635" s="1">
        <v>1.0</v>
      </c>
      <c r="B635" s="1" t="s">
        <v>634</v>
      </c>
      <c r="C635" t="str">
        <f>IFERROR(__xludf.DUMMYFUNCTION("GOOGLETRANSLATE(B635, ""fr"", ""en"")"),"Its not terrible crackling lightweight headphones, easy to fold but saturation noise in the helmet after the first listen ... Very poor sound quality, I am amazed that I really like the brand very disappointed. My son having the utility every day the soun"&amp;"d will remain as I don not send the product to wait reception ... Disappointed.")</f>
        <v>Its not terrible crackling lightweight headphones, easy to fold but saturation noise in the helmet after the first listen ... Very poor sound quality, I am amazed that I really like the brand very disappointed. My son having the utility every day the sound will remain as I don not send the product to wait reception ... Disappointed.</v>
      </c>
    </row>
    <row r="636">
      <c r="A636" s="1">
        <v>3.0</v>
      </c>
      <c r="B636" s="1" t="s">
        <v>635</v>
      </c>
      <c r="C636" t="str">
        <f>IFERROR(__xludf.DUMMYFUNCTION("GOOGLETRANSLATE(B636, ""fr"", ""en"")"),"Baby Bottle large capacity glass bottle glass large enough but the little one does not want so stowed in the closet nipple is indifferent he does not want")</f>
        <v>Baby Bottle large capacity glass bottle glass large enough but the little one does not want so stowed in the closet nipple is indifferent he does not want</v>
      </c>
    </row>
    <row r="637">
      <c r="A637" s="1">
        <v>3.0</v>
      </c>
      <c r="B637" s="1" t="s">
        <v>636</v>
      </c>
      <c r="C637" t="str">
        <f>IFERROR(__xludf.DUMMYFUNCTION("GOOGLETRANSLATE(B637, ""fr"", ""en"")"),"Product origin This product comes from England, English literature, but UK socket adapter, all the on-screen menu is in English no way to change it, this is abnormal and contrary to French law. I called the customer service Brother who guided me to the la"&amp;"nguage change. I regret having bought this product on Amazon it does not inform the client of what he will receive. Scam !!!!")</f>
        <v>Product origin This product comes from England, English literature, but UK socket adapter, all the on-screen menu is in English no way to change it, this is abnormal and contrary to French law. I called the customer service Brother who guided me to the language change. I regret having bought this product on Amazon it does not inform the client of what he will receive. Scam !!!!</v>
      </c>
    </row>
    <row r="638">
      <c r="A638" s="1">
        <v>4.0</v>
      </c>
      <c r="B638" s="1" t="s">
        <v>637</v>
      </c>
      <c r="C638" t="str">
        <f>IFERROR(__xludf.DUMMYFUNCTION("GOOGLETRANSLATE(B638, ""fr"", ""en"")"),"Small handy bottle This is a small bottle handy to start. Our little piece takes artificial warmed milk, it seems to me that this little bottle loses heat more slowly than 240ml I also bought. There is a little leak, but it is not very troublesome. Point "&amp;"of improvement: the measurements on the bottle are particularly difficult to read at night.")</f>
        <v>Small handy bottle This is a small bottle handy to start. Our little piece takes artificial warmed milk, it seems to me that this little bottle loses heat more slowly than 240ml I also bought. There is a little leak, but it is not very troublesome. Point of improvement: the measurements on the bottle are particularly difficult to read at night.</v>
      </c>
    </row>
    <row r="639">
      <c r="A639" s="1">
        <v>4.0</v>
      </c>
      <c r="B639" s="1" t="s">
        <v>638</v>
      </c>
      <c r="C639" t="str">
        <f>IFERROR(__xludf.DUMMYFUNCTION("GOOGLETRANSLATE(B639, ""fr"", ""en"")"),"Conforms arrived as expected")</f>
        <v>Conforms arrived as expected</v>
      </c>
    </row>
    <row r="640">
      <c r="A640" s="1">
        <v>4.0</v>
      </c>
      <c r="B640" s="1" t="s">
        <v>639</v>
      </c>
      <c r="C640" t="str">
        <f>IFERROR(__xludf.DUMMYFUNCTION("GOOGLETRANSLATE(B640, ""fr"", ""en"")"),"the right product to fight against back pain It has a large heating power, which makes it very effective against pain, I enjoy it a lot, it relaxes the muscles.")</f>
        <v>the right product to fight against back pain It has a large heating power, which makes it very effective against pain, I enjoy it a lot, it relaxes the muscles.</v>
      </c>
    </row>
    <row r="641">
      <c r="A641" s="1">
        <v>4.0</v>
      </c>
      <c r="B641" s="1" t="s">
        <v>640</v>
      </c>
      <c r="C641" t="str">
        <f>IFERROR(__xludf.DUMMYFUNCTION("GOOGLETRANSLATE(B641, ""fr"", ""en"")"),"Good value within the time period Received true to the description")</f>
        <v>Good value within the time period Received true to the description</v>
      </c>
    </row>
    <row r="642">
      <c r="A642" s="1">
        <v>5.0</v>
      </c>
      <c r="B642" s="1" t="s">
        <v>641</v>
      </c>
      <c r="C642" t="str">
        <f>IFERROR(__xludf.DUMMYFUNCTION("GOOGLETRANSLATE(B642, ""fr"", ""en"")"),"Great! I am delighted to address, the name on the box to the letter, or others. Really great. I would recommend as absolutely")</f>
        <v>Great! I am delighted to address, the name on the box to the letter, or others. Really great. I would recommend as absolutely</v>
      </c>
    </row>
    <row r="643">
      <c r="A643" s="1">
        <v>5.0</v>
      </c>
      <c r="B643" s="1" t="s">
        <v>642</v>
      </c>
      <c r="C643" t="str">
        <f>IFERROR(__xludf.DUMMYFUNCTION("GOOGLETRANSLATE(B643, ""fr"", ""en"")"),"Super helmets for children Lunii Excellent value for money product MPOW (already owner of a Bluetooth headset at home and very satisfied). Good finish (plastic soft touch). Two helmets in the pack connectable chain them for listening to two children simul"&amp;"taneously without loss of sound and no need to buy a separate splitter. The sound is very correct and glue at the sound Lunii (only purpose of my purchase). Test also on a smartphone, very pleasant surprise in terms of quality pr headphones of this price "&amp;"range. Only flat on use outside Lunii, no volume control with headphones. But this is a child helmet noise restricted, so it's perfectly normal. I recommend.")</f>
        <v>Super helmets for children Lunii Excellent value for money product MPOW (already owner of a Bluetooth headset at home and very satisfied). Good finish (plastic soft touch). Two helmets in the pack connectable chain them for listening to two children simultaneously without loss of sound and no need to buy a separate splitter. The sound is very correct and glue at the sound Lunii (only purpose of my purchase). Test also on a smartphone, very pleasant surprise in terms of quality pr headphones of this price range. Only flat on use outside Lunii, no volume control with headphones. But this is a child helmet noise restricted, so it's perfectly normal. I recommend.</v>
      </c>
    </row>
    <row r="644">
      <c r="A644" s="1">
        <v>5.0</v>
      </c>
      <c r="B644" s="1" t="s">
        <v>643</v>
      </c>
      <c r="C644" t="str">
        <f>IFERROR(__xludf.DUMMYFUNCTION("GOOGLETRANSLATE(B644, ""fr"", ""en"")"),"Hyper comfortable I love !!! For 2 years I do not put it between April and October !!!!")</f>
        <v>Hyper comfortable I love !!! For 2 years I do not put it between April and October !!!!</v>
      </c>
    </row>
    <row r="645">
      <c r="A645" s="1">
        <v>5.0</v>
      </c>
      <c r="B645" s="1" t="s">
        <v>644</v>
      </c>
      <c r="C645" t="str">
        <f>IFERROR(__xludf.DUMMYFUNCTION("GOOGLETRANSLATE(B645, ""fr"", ""en"")"),"Although Compliant")</f>
        <v>Although Compliant</v>
      </c>
    </row>
    <row r="646">
      <c r="A646" s="1">
        <v>5.0</v>
      </c>
      <c r="B646" s="1" t="s">
        <v>645</v>
      </c>
      <c r="C646" t="str">
        <f>IFERROR(__xludf.DUMMYFUNCTION("GOOGLETRANSLATE(B646, ""fr"", ""en"")"),"Okay, I shoe size 41, size is perfect. Received on time. These socks without heels (see photo), but the elasticity that it is no problem to wear them. As against it are distorted, we must see if they recover their shape after washing. Rendering as the ima"&amp;"ge shown.")</f>
        <v>Okay, I shoe size 41, size is perfect. Received on time. These socks without heels (see photo), but the elasticity that it is no problem to wear them. As against it are distorted, we must see if they recover their shape after washing. Rendering as the image shown.</v>
      </c>
    </row>
    <row r="647">
      <c r="A647" s="1">
        <v>5.0</v>
      </c>
      <c r="B647" s="1" t="s">
        <v>646</v>
      </c>
      <c r="C647" t="str">
        <f>IFERROR(__xludf.DUMMYFUNCTION("GOOGLETRANSLATE(B647, ""fr"", ""en"")"),"This economic model is requested for September 6th my daughter every corner of the supermarkets sell more expensive!")</f>
        <v>This economic model is requested for September 6th my daughter every corner of the supermarkets sell more expensive!</v>
      </c>
    </row>
    <row r="648">
      <c r="A648" s="1">
        <v>5.0</v>
      </c>
      <c r="B648" s="1" t="s">
        <v>647</v>
      </c>
      <c r="C648" t="str">
        <f>IFERROR(__xludf.DUMMYFUNCTION("GOOGLETRANSLATE(B648, ""fr"", ""en"")"),"Nice and comfortable Transaction perfect: serious seller, fast delivery and perfect product! ultra comfortable shoes, beautiful, strong, flexible! I highly recommend the purchase with a size 'more than the usual (as indicated on the site)")</f>
        <v>Nice and comfortable Transaction perfect: serious seller, fast delivery and perfect product! ultra comfortable shoes, beautiful, strong, flexible! I highly recommend the purchase with a size 'more than the usual (as indicated on the site)</v>
      </c>
    </row>
    <row r="649">
      <c r="A649" s="1">
        <v>5.0</v>
      </c>
      <c r="B649" s="1" t="s">
        <v>648</v>
      </c>
      <c r="C649" t="str">
        <f>IFERROR(__xludf.DUMMYFUNCTION("GOOGLETRANSLATE(B649, ""fr"", ""en"")"),"Beautiful shoes in which I am Daily Use")</f>
        <v>Beautiful shoes in which I am Daily Use</v>
      </c>
    </row>
    <row r="650">
      <c r="A650" s="1">
        <v>5.0</v>
      </c>
      <c r="B650" s="1" t="s">
        <v>649</v>
      </c>
      <c r="C650" t="str">
        <f>IFERROR(__xludf.DUMMYFUNCTION("GOOGLETRANSLATE(B650, ""fr"", ""en"")"),"practices practice")</f>
        <v>practices practice</v>
      </c>
    </row>
    <row r="651">
      <c r="A651" s="1">
        <v>5.0</v>
      </c>
      <c r="B651" s="1" t="s">
        <v>650</v>
      </c>
      <c r="C651" t="str">
        <f>IFERROR(__xludf.DUMMYFUNCTION("GOOGLETRANSLATE(B651, ""fr"", ""en"")"),"it's ok it's ok")</f>
        <v>it's ok it's ok</v>
      </c>
    </row>
    <row r="652">
      <c r="A652" s="1">
        <v>5.0</v>
      </c>
      <c r="B652" s="1" t="s">
        <v>651</v>
      </c>
      <c r="C652" t="str">
        <f>IFERROR(__xludf.DUMMYFUNCTION("GOOGLETRANSLATE(B652, ""fr"", ""en"")"),"beautiful gorgeous necklace, pendant and chain are very thin, the crystal is highlighted by crimping produced 925 no allergy concern comes in a green with a small cleaning cloth. I recommend this product personally, I adopted as one of my favorite jewelry")</f>
        <v>beautiful gorgeous necklace, pendant and chain are very thin, the crystal is highlighted by crimping produced 925 no allergy concern comes in a green with a small cleaning cloth. I recommend this product personally, I adopted as one of my favorite jewelry</v>
      </c>
    </row>
    <row r="653">
      <c r="A653" s="1">
        <v>5.0</v>
      </c>
      <c r="B653" s="1" t="s">
        <v>652</v>
      </c>
      <c r="C653" t="str">
        <f>IFERROR(__xludf.DUMMYFUNCTION("GOOGLETRANSLATE(B653, ""fr"", ""en"")"),"Very good Q / P Pleasantly surprised by this highly functional bag that seems solid. Multiple pockets for all sorts of things and yet not too bulky. Bought for 14 ultrabook ""charger and its hub, I can accommodate much more than expected. Magazines, my ph"&amp;"one ... Ideal for traveling light. The color is true to pictures. Paid less than 30 € for this bag pretty amazing when you see the quality we to usual price.")</f>
        <v>Very good Q / P Pleasantly surprised by this highly functional bag that seems solid. Multiple pockets for all sorts of things and yet not too bulky. Bought for 14 ultrabook "charger and its hub, I can accommodate much more than expected. Magazines, my phone ... Ideal for traveling light. The color is true to pictures. Paid less than 30 € for this bag pretty amazing when you see the quality we to usual price.</v>
      </c>
    </row>
    <row r="654">
      <c r="A654" s="1">
        <v>5.0</v>
      </c>
      <c r="B654" s="1" t="s">
        <v>653</v>
      </c>
      <c r="C654" t="str">
        <f>IFERROR(__xludf.DUMMYFUNCTION("GOOGLETRANSLATE(B654, ""fr"", ""en"")"),"good maintenance Good maintenance of large breasts with dual strap racerback straps + standard. Adapted to minimize a little chest for so poledance, it goes !!!")</f>
        <v>good maintenance Good maintenance of large breasts with dual strap racerback straps + standard. Adapted to minimize a little chest for so poledance, it goes !!!</v>
      </c>
    </row>
    <row r="655">
      <c r="A655" s="1">
        <v>5.0</v>
      </c>
      <c r="B655" s="1" t="s">
        <v>654</v>
      </c>
      <c r="C655" t="str">
        <f>IFERROR(__xludf.DUMMYFUNCTION("GOOGLETRANSLATE(B655, ""fr"", ""en"")"),"Value not nothing to say Small and strong")</f>
        <v>Value not nothing to say Small and strong</v>
      </c>
    </row>
    <row r="656">
      <c r="A656" s="1">
        <v>5.0</v>
      </c>
      <c r="B656" s="1" t="s">
        <v>655</v>
      </c>
      <c r="C656" t="str">
        <f>IFERROR(__xludf.DUMMYFUNCTION("GOOGLETRANSLATE(B656, ""fr"", ""en"")"),"Looks good I do not have the tools to measure qualIty of this oil but it looks good and the smell is really very pleasant. I use it mainly for its properties thanks household ""antibacterial""")</f>
        <v>Looks good I do not have the tools to measure qualIty of this oil but it looks good and the smell is really very pleasant. I use it mainly for its properties thanks household "antibacterial"</v>
      </c>
    </row>
    <row r="657">
      <c r="A657" s="1">
        <v>2.0</v>
      </c>
      <c r="B657" s="1" t="s">
        <v>656</v>
      </c>
      <c r="C657" t="str">
        <f>IFERROR(__xludf.DUMMYFUNCTION("GOOGLETRANSLATE(B657, ""fr"", ""en"")"),"Pacifier nipple that does not suit me damage")</f>
        <v>Pacifier nipple that does not suit me damage</v>
      </c>
    </row>
    <row r="658">
      <c r="A658" s="1">
        <v>1.0</v>
      </c>
      <c r="B658" s="1" t="s">
        <v>657</v>
      </c>
      <c r="C658" t="str">
        <f>IFERROR(__xludf.DUMMYFUNCTION("GOOGLETRANSLATE(B658, ""fr"", ""en"")"),"HS after a month early Satisfied Unfortunately, poor quality, HS listener after a month of normal use")</f>
        <v>HS after a month early Satisfied Unfortunately, poor quality, HS listener after a month of normal use</v>
      </c>
    </row>
    <row r="659">
      <c r="A659" s="1">
        <v>1.0</v>
      </c>
      <c r="B659" s="1" t="s">
        <v>658</v>
      </c>
      <c r="C659" t="str">
        <f>IFERROR(__xludf.DUMMYFUNCTION("GOOGLETRANSLATE(B659, ""fr"", ""en"")"),"Lifetime 24H Chrono After receiving this helmet that was fast, I could test: Good sound quality Comfortable Headphones despite the lack of foam on top that is placed on the head. Foams at the ears are fine, even in yours workout Major problem: Mine -24h d"&amp;"uration to ... Am I came across a defective? I do not know, just be So my advice is: Too bad!")</f>
        <v>Lifetime 24H Chrono After receiving this helmet that was fast, I could test: Good sound quality Comfortable Headphones despite the lack of foam on top that is placed on the head. Foams at the ears are fine, even in yours workout Major problem: Mine -24h duration to ... Am I came across a defective? I do not know, just be So my advice is: Too bad!</v>
      </c>
    </row>
    <row r="660">
      <c r="A660" s="1">
        <v>3.0</v>
      </c>
      <c r="B660" s="1" t="s">
        <v>659</v>
      </c>
      <c r="C660" t="str">
        <f>IFERROR(__xludf.DUMMYFUNCTION("GOOGLETRANSLATE(B660, ""fr"", ""en"")"),"Ok Too Wide")</f>
        <v>Ok Too Wide</v>
      </c>
    </row>
    <row r="661">
      <c r="A661" s="1">
        <v>4.0</v>
      </c>
      <c r="B661" s="1" t="s">
        <v>660</v>
      </c>
      <c r="C661" t="str">
        <f>IFERROR(__xludf.DUMMYFUNCTION("GOOGLETRANSLATE(B661, ""fr"", ""en"")"),"Good quality Glad I advise my buffer, delivered in a timely manner. It is at the top for documents.")</f>
        <v>Good quality Glad I advise my buffer, delivered in a timely manner. It is at the top for documents.</v>
      </c>
    </row>
    <row r="662">
      <c r="A662" s="1">
        <v>4.0</v>
      </c>
      <c r="B662" s="1" t="s">
        <v>661</v>
      </c>
      <c r="C662" t="str">
        <f>IFERROR(__xludf.DUMMYFUNCTION("GOOGLETRANSLATE(B662, ""fr"", ""en"")"),"Beautiful Pretty fancy jewel effect, the reflections are really in addition there is the possibility of a bracelet that matches by searching the site but you have to look for it is not even offered in temps.Il can be worn with many garment collar is not v"&amp;"ery long thereby putting even with a small neckline. The only regret is the back of the jewel that is not very nice but it did not really matter because it remains in place. Ladies effect guaranteed with this little gem.")</f>
        <v>Beautiful Pretty fancy jewel effect, the reflections are really in addition there is the possibility of a bracelet that matches by searching the site but you have to look for it is not even offered in temps.Il can be worn with many garment collar is not very long thereby putting even with a small neckline. The only regret is the back of the jewel that is not very nice but it did not really matter because it remains in place. Ladies effect guaranteed with this little gem.</v>
      </c>
    </row>
    <row r="663">
      <c r="A663" s="1">
        <v>4.0</v>
      </c>
      <c r="B663" s="1" t="s">
        <v>662</v>
      </c>
      <c r="C663" t="str">
        <f>IFERROR(__xludf.DUMMYFUNCTION("GOOGLETRANSLATE(B663, ""fr"", ""en"")"),"effective I got good results on mosquito bites")</f>
        <v>effective I got good results on mosquito bites</v>
      </c>
    </row>
    <row r="664">
      <c r="A664" s="1">
        <v>4.0</v>
      </c>
      <c r="B664" s="1" t="s">
        <v>663</v>
      </c>
      <c r="C664" t="str">
        <f>IFERROR(__xludf.DUMMYFUNCTION("GOOGLETRANSLATE(B664, ""fr"", ""en"")"),"Received for performance testing. This bottle warmer is not bad: neoprene keeps warm (not insulated literally but it's not bad), the bib heater plugs into the cigarette lighter and relatively quickly heated. Obviously, do not expect to boil water with thi"&amp;"s heater bib, put it quite effective. I only regret the narrowness of the neoprene cover that requires a little force with big bottle, and the inability to reduce the height of the cover (if you drive up you risk damaging the heating device priori)")</f>
        <v>Received for performance testing. This bottle warmer is not bad: neoprene keeps warm (not insulated literally but it's not bad), the bib heater plugs into the cigarette lighter and relatively quickly heated. Obviously, do not expect to boil water with this heater bib, put it quite effective. I only regret the narrowness of the neoprene cover that requires a little force with big bottle, and the inability to reduce the height of the cover (if you drive up you risk damaging the heating device priori)</v>
      </c>
    </row>
    <row r="665">
      <c r="A665" s="1">
        <v>5.0</v>
      </c>
      <c r="B665" s="1" t="s">
        <v>664</v>
      </c>
      <c r="C665" t="str">
        <f>IFERROR(__xludf.DUMMYFUNCTION("GOOGLETRANSLATE(B665, ""fr"", ""en"")"),"Ideal for early reading toddlers Finally an accessible collection very small, the first steps of reading the new words, sounds acquired are repeated throughout history. We read all PC enchaînons beginners and level 2. In addition really cheap within 3 € b"&amp;"ook!")</f>
        <v>Ideal for early reading toddlers Finally an accessible collection very small, the first steps of reading the new words, sounds acquired are repeated throughout history. We read all PC enchaînons beginners and level 2. In addition really cheap within 3 € book!</v>
      </c>
    </row>
    <row r="666">
      <c r="A666" s="1">
        <v>5.0</v>
      </c>
      <c r="B666" s="1" t="s">
        <v>665</v>
      </c>
      <c r="C666" t="str">
        <f>IFERROR(__xludf.DUMMYFUNCTION("GOOGLETRANSLATE(B666, ""fr"", ""en"")"),"purchase impeccable Fast shipping, nickel product and the best price, I have not found better on the net at this price point. To recommend")</f>
        <v>purchase impeccable Fast shipping, nickel product and the best price, I have not found better on the net at this price point. To recommend</v>
      </c>
    </row>
    <row r="667">
      <c r="A667" s="1">
        <v>5.0</v>
      </c>
      <c r="B667" s="1" t="s">
        <v>666</v>
      </c>
      <c r="C667" t="str">
        <f>IFERROR(__xludf.DUMMYFUNCTION("GOOGLETRANSLATE(B667, ""fr"", ""en"")"),"Superb I already buy essential oil diffuser for a gift and I found it so awesome I'm Mu'en bought one. This one can see colored lights but also it has a timer of 1 hour, 2 hours and 3 hours which is convenient because the amount of fluid flow seen will no"&amp;"t hold more. In short I am delighted")</f>
        <v>Superb I already buy essential oil diffuser for a gift and I found it so awesome I'm Mu'en bought one. This one can see colored lights but also it has a timer of 1 hour, 2 hours and 3 hours which is convenient because the amount of fluid flow seen will not hold more. In short I am delighted</v>
      </c>
    </row>
    <row r="668">
      <c r="A668" s="1">
        <v>5.0</v>
      </c>
      <c r="B668" s="1" t="s">
        <v>667</v>
      </c>
      <c r="C668" t="str">
        <f>IFERROR(__xludf.DUMMYFUNCTION("GOOGLETRANSLATE(B668, ""fr"", ""en"")"),"Perfect thank you in placing my order, I was very pa on me. But I did not worry because I know the perfect amazon return policy when in premium if you are not satisfied. And suddenly very happy with the article, which m 'to quickly rescued from a torticol"&amp;"lis who would not let go of me ... A little bit micro wave and blow tower is operational, with more seeds flax here feel very good. By cons, if you have a bull call, and no sparrow (like me) you may find the ride a bit short ... Otherwise item to order ey"&amp;"es closed ...")</f>
        <v>Perfect thank you in placing my order, I was very pa on me. But I did not worry because I know the perfect amazon return policy when in premium if you are not satisfied. And suddenly very happy with the article, which m 'to quickly rescued from a torticollis who would not let go of me ... A little bit micro wave and blow tower is operational, with more seeds flax here feel very good. By cons, if you have a bull call, and no sparrow (like me) you may find the ride a bit short ... Otherwise item to order eyes closed ...</v>
      </c>
    </row>
    <row r="669">
      <c r="A669" s="1">
        <v>5.0</v>
      </c>
      <c r="B669" s="1" t="s">
        <v>668</v>
      </c>
      <c r="C669" t="str">
        <f>IFERROR(__xludf.DUMMYFUNCTION("GOOGLETRANSLATE(B669, ""fr"", ""en"")"),"Effective I had formerly a foam brush like this, I found great pleasure this article toujurs as good. The old recipes still exist, and we find them through NET. Suede and nubuck resume a shot of youth with such a brush. Thank you to continue in the simple"&amp;" and effective!")</f>
        <v>Effective I had formerly a foam brush like this, I found great pleasure this article toujurs as good. The old recipes still exist, and we find them through NET. Suede and nubuck resume a shot of youth with such a brush. Thank you to continue in the simple and effective!</v>
      </c>
    </row>
    <row r="670">
      <c r="A670" s="1">
        <v>5.0</v>
      </c>
      <c r="B670" s="1" t="s">
        <v>669</v>
      </c>
      <c r="C670" t="str">
        <f>IFERROR(__xludf.DUMMYFUNCTION("GOOGLETRANSLATE(B670, ""fr"", ""en"")"),"Excellent sound quality microphone This is the first I control and I think that can be considered an amateur, but I did not expect to be as good with this microphone. The microphone comes with its support on foot and a DMX cable to Jack. The support seems"&amp;" a bit light but the microphone yours well and it helps raise the microphone at the correct height. DMX socket allows the microphone to be connected to a mixer. When we speak, the microphone cut outside noise and makes it truly his own. The disadvantage i"&amp;"s that it must speak quite close to the microphone not to be cut. In sum, it remains a microphone with an excellent price / quality ratio.")</f>
        <v>Excellent sound quality microphone This is the first I control and I think that can be considered an amateur, but I did not expect to be as good with this microphone. The microphone comes with its support on foot and a DMX cable to Jack. The support seems a bit light but the microphone yours well and it helps raise the microphone at the correct height. DMX socket allows the microphone to be connected to a mixer. When we speak, the microphone cut outside noise and makes it truly his own. The disadvantage is that it must speak quite close to the microphone not to be cut. In sum, it remains a microphone with an excellent price / quality ratio.</v>
      </c>
    </row>
    <row r="671">
      <c r="A671" s="1">
        <v>5.0</v>
      </c>
      <c r="B671" s="1" t="s">
        <v>670</v>
      </c>
      <c r="C671" t="str">
        <f>IFERROR(__xludf.DUMMYFUNCTION("GOOGLETRANSLATE(B671, ""fr"", ""en"")"),"Perfect again at the risk of repeating myself ... that's the only teats that my children have accepted so naturally I love! they are really good and I think this is due not only the material but also its shape that reminds one of the breasts ....")</f>
        <v>Perfect again at the risk of repeating myself ... that's the only teats that my children have accepted so naturally I love! they are really good and I think this is due not only the material but also its shape that reminds one of the breasts ....</v>
      </c>
    </row>
    <row r="672">
      <c r="A672" s="1">
        <v>5.0</v>
      </c>
      <c r="B672" s="1" t="s">
        <v>671</v>
      </c>
      <c r="C672" t="str">
        <f>IFERROR(__xludf.DUMMYFUNCTION("GOOGLETRANSLATE(B672, ""fr"", ""en"")"),"Good satisfactory product comes complete in an impeccable packaging. Goodies: -Its balanced bass present. -The son appear solid -Design and color. -Isolation sound. Cons: nothing yet to do with time.")</f>
        <v>Good satisfactory product comes complete in an impeccable packaging. Goodies: -Its balanced bass present. -The son appear solid -Design and color. -Isolation sound. Cons: nothing yet to do with time.</v>
      </c>
    </row>
    <row r="673">
      <c r="A673" s="1">
        <v>5.0</v>
      </c>
      <c r="B673" s="1" t="s">
        <v>672</v>
      </c>
      <c r="C673" t="str">
        <f>IFERROR(__xludf.DUMMYFUNCTION("GOOGLETRANSLATE(B673, ""fr"", ""en"")"),"I love Ordered by subscription at Amazon, I'm not bothered by these large formats in my caddy that take up space in the trunk and also the trouble to carry around with her in the street rolls! :)")</f>
        <v>I love Ordered by subscription at Amazon, I'm not bothered by these large formats in my caddy that take up space in the trunk and also the trouble to carry around with her in the street rolls! :)</v>
      </c>
    </row>
    <row r="674">
      <c r="A674" s="1">
        <v>5.0</v>
      </c>
      <c r="B674" s="1" t="s">
        <v>673</v>
      </c>
      <c r="C674" t="str">
        <f>IFERROR(__xludf.DUMMYFUNCTION("GOOGLETRANSLATE(B674, ""fr"", ""en"")"),"Rather nice quality Kettle")</f>
        <v>Rather nice quality Kettle</v>
      </c>
    </row>
    <row r="675">
      <c r="A675" s="1">
        <v>5.0</v>
      </c>
      <c r="B675" s="1" t="s">
        <v>674</v>
      </c>
      <c r="C675" t="str">
        <f>IFERROR(__xludf.DUMMYFUNCTION("GOOGLETRANSLATE(B675, ""fr"", ""en"")"),"Genial too happy pascher and good quality")</f>
        <v>Genial too happy pascher and good quality</v>
      </c>
    </row>
    <row r="676">
      <c r="A676" s="1">
        <v>5.0</v>
      </c>
      <c r="B676" s="1" t="s">
        <v>675</v>
      </c>
      <c r="C676" t="str">
        <f>IFERROR(__xludf.DUMMYFUNCTION("GOOGLETRANSLATE(B676, ""fr"", ""en"")"),"it's the heavy taff")</f>
        <v>it's the heavy taff</v>
      </c>
    </row>
    <row r="677">
      <c r="A677" s="1">
        <v>5.0</v>
      </c>
      <c r="B677" s="1" t="s">
        <v>676</v>
      </c>
      <c r="C677" t="str">
        <f>IFERROR(__xludf.DUMMYFUNCTION("GOOGLETRANSLATE(B677, ""fr"", ""en"")"),"optimal digital and audio quality screen &lt;div id = ""video-block-REU1MZIDA7TI9"" class = ""a-section-spacing-small in-spacing-top mini video-block""&gt; &lt;/ div&gt; &lt;input type = ""hidden ""name ="" ""value ="" https://images-eu.ssl-images-amazon.com/images/I/C1"&amp;"OPg-HaCVS.mp4 ""class ="" video-url ""&gt; &lt;input type ="" hidden ""name = """" value = ""https://images-eu.ssl-images-amazon.com/images/I/A1wb9BQcQrS.png"" class = ""video-slate-img-url""&gt; &amp; nbsp; It uses a digital LED display it is different from others. B"&amp;"attery - 6000mAh. The load is fast. There are ear plugs, USB cable, a charging box and a small bag. With the price and quality I am happy very fast connection with another laptop and Bluetooth, but be careful if you use Bluetooth with an older version of "&amp;"the software under Windows / Android. For this reason, you need to clear the history and ensure that other Bluetooth headphones do not try to connect simultaneously.")</f>
        <v>optimal digital and audio quality screen &lt;div id = "video-block-REU1MZIDA7TI9" class = "a-section-spacing-small in-spacing-top mini video-block"&gt; &lt;/ div&gt; &lt;input type = "hidden "name =" "value =" https://images-eu.ssl-images-amazon.com/images/I/C1OPg-HaCVS.mp4 "class =" video-url "&gt; &lt;input type =" hidden "name = "" value = "https://images-eu.ssl-images-amazon.com/images/I/A1wb9BQcQrS.png" class = "video-slate-img-url"&gt; &amp; nbsp; It uses a digital LED display it is different from others. Battery - 6000mAh. The load is fast. There are ear plugs, USB cable, a charging box and a small bag. With the price and quality I am happy very fast connection with another laptop and Bluetooth, but be careful if you use Bluetooth with an older version of the software under Windows / Android. For this reason, you need to clear the history and ensure that other Bluetooth headphones do not try to connect simultaneously.</v>
      </c>
    </row>
    <row r="678">
      <c r="A678" s="1">
        <v>5.0</v>
      </c>
      <c r="B678" s="1" t="s">
        <v>677</v>
      </c>
      <c r="C678" t="str">
        <f>IFERROR(__xludf.DUMMYFUNCTION("GOOGLETRANSLATE(B678, ""fr"", ""en"")"),"Simple and effective Considering the price, we hesitate in saying ""good we'll see."" Once received, plus any regrets. Personally no fault of the cultured pearl, mesh necklace is really pretty. It is true that there is no certificate, but we quickly see t"&amp;"hat this is indeed a silver necklace. The collar still comes in a box. In the end my wife is conquered!")</f>
        <v>Simple and effective Considering the price, we hesitate in saying "good we'll see." Once received, plus any regrets. Personally no fault of the cultured pearl, mesh necklace is really pretty. It is true that there is no certificate, but we quickly see that this is indeed a silver necklace. The collar still comes in a box. In the end my wife is conquered!</v>
      </c>
    </row>
    <row r="679">
      <c r="A679" s="1">
        <v>5.0</v>
      </c>
      <c r="B679" s="1" t="s">
        <v>678</v>
      </c>
      <c r="C679" t="str">
        <f>IFERROR(__xludf.DUMMYFUNCTION("GOOGLETRANSLATE(B679, ""fr"", ""en"")"),"At the top I get my yellow Timberland (nubuck) I did not wash it for 2 years emerged as new simply follow the instructions booklet delivered with the cover products which incidentally is handy for the products do not separate walk is in the drawers. TOP")</f>
        <v>At the top I get my yellow Timberland (nubuck) I did not wash it for 2 years emerged as new simply follow the instructions booklet delivered with the cover products which incidentally is handy for the products do not separate walk is in the drawers. TOP</v>
      </c>
    </row>
    <row r="680">
      <c r="A680" s="1">
        <v>2.0</v>
      </c>
      <c r="B680" s="1" t="s">
        <v>679</v>
      </c>
      <c r="C680" t="str">
        <f>IFERROR(__xludf.DUMMYFUNCTION("GOOGLETRANSLATE(B680, ""fr"", ""en"")"),"Kettle old Very nice line boiler, but the thermostat is too random (just cosmetic). The spout is too narrow limits, and must slowly fill this kettle large capacity, which takes time.")</f>
        <v>Kettle old Very nice line boiler, but the thermostat is too random (just cosmetic). The spout is too narrow limits, and must slowly fill this kettle large capacity, which takes time.</v>
      </c>
    </row>
    <row r="681">
      <c r="A681" s="1">
        <v>1.0</v>
      </c>
      <c r="B681" s="1" t="s">
        <v>680</v>
      </c>
      <c r="C681" t="str">
        <f>IFERROR(__xludf.DUMMYFUNCTION("GOOGLETRANSLATE(B681, ""fr"", ""en"")"),"All that buzz that? I was looking for medium-end earphones for intensive use in public transport (keeping my premium for certain occasions). Given more than favorable opinion, I turned to this brand, saying that the value was to be unbeatable. Well disapp"&amp;"ointment !! Cons: 1) The wire is too long, too long. While we're on the wireless era, what is the point of having an even longer lead than average? 2) No bass, who are missing subscribers. In this price range, I had much better low level. 3) The small joy"&amp;"stick control looks very fragile and impractical. In short, I do not understand this buzz with a very high note. There are much better in this price range! At the limit it would be better to 10 euros more and take the low-end Sony MDR, the quality is much"&amp;" better. In short very disappointed with the sound, metal and without bass.")</f>
        <v>All that buzz that? I was looking for medium-end earphones for intensive use in public transport (keeping my premium for certain occasions). Given more than favorable opinion, I turned to this brand, saying that the value was to be unbeatable. Well disappointment !! Cons: 1) The wire is too long, too long. While we're on the wireless era, what is the point of having an even longer lead than average? 2) No bass, who are missing subscribers. In this price range, I had much better low level. 3) The small joystick control looks very fragile and impractical. In short, I do not understand this buzz with a very high note. There are much better in this price range! At the limit it would be better to 10 euros more and take the low-end Sony MDR, the quality is much better. In short very disappointed with the sound, metal and without bass.</v>
      </c>
    </row>
    <row r="682">
      <c r="A682" s="1">
        <v>3.0</v>
      </c>
      <c r="B682" s="1" t="s">
        <v>681</v>
      </c>
      <c r="C682" t="str">
        <f>IFERROR(__xludf.DUMMYFUNCTION("GOOGLETRANSLATE(B682, ""fr"", ""en"")"),"desilusión We Kitchenaid equipment at home, and we wanted this kettle that we manquai. She is very pretty practical. But unfortunately it broke down within one month after receipt. The seller is necessary to recover directly from us by a carrier. However,"&amp;" we still expect our new facilities. to be continued...")</f>
        <v>desilusión We Kitchenaid equipment at home, and we wanted this kettle that we manquai. She is very pretty practical. But unfortunately it broke down within one month after receipt. The seller is necessary to recover directly from us by a carrier. However, we still expect our new facilities. to be continued...</v>
      </c>
    </row>
    <row r="683">
      <c r="A683" s="1">
        <v>3.0</v>
      </c>
      <c r="B683" s="1" t="s">
        <v>682</v>
      </c>
      <c r="C683" t="str">
        <f>IFERROR(__xludf.DUMMYFUNCTION("GOOGLETRANSLATE(B683, ""fr"", ""en"")"),"its ok for the price but cable too late too I bought the model below about 15 € which had a very thick cable that eventually will not give false contacts at the connection to the mini jack. So I bought the same model but range above, with microphone, I sa"&amp;"id because I wonder if it is not linked to the cable thickness. So the cable that connects the jack is too thin for my taste and the last helmet Yamaha I paid 100 € at the time has finally make a bad contact after 364 days while I never forced or folded o"&amp;"ver at sensitive locations. Last weaknesses, no volume buttons available next to the microphone. Some users complain about the loss as Sony middles but fair price.")</f>
        <v>its ok for the price but cable too late too I bought the model below about 15 € which had a very thick cable that eventually will not give false contacts at the connection to the mini jack. So I bought the same model but range above, with microphone, I said because I wonder if it is not linked to the cable thickness. So the cable that connects the jack is too thin for my taste and the last helmet Yamaha I paid 100 € at the time has finally make a bad contact after 364 days while I never forced or folded over at sensitive locations. Last weaknesses, no volume buttons available next to the microphone. Some users complain about the loss as Sony middles but fair price.</v>
      </c>
    </row>
    <row r="684">
      <c r="A684" s="1">
        <v>4.0</v>
      </c>
      <c r="B684" s="1" t="s">
        <v>590</v>
      </c>
      <c r="C684" t="str">
        <f>IFERROR(__xludf.DUMMYFUNCTION("GOOGLETRANSLATE(B684, ""fr"", ""en"")"),"Although Good product")</f>
        <v>Although Good product</v>
      </c>
    </row>
    <row r="685">
      <c r="A685" s="1">
        <v>4.0</v>
      </c>
      <c r="B685" s="1" t="s">
        <v>683</v>
      </c>
      <c r="C685" t="str">
        <f>IFERROR(__xludf.DUMMYFUNCTION("GOOGLETRANSLATE(B685, ""fr"", ""en"")"),"Although the Just not quite complete manual")</f>
        <v>Although the Just not quite complete manual</v>
      </c>
    </row>
    <row r="686">
      <c r="A686" s="1">
        <v>4.0</v>
      </c>
      <c r="B686" s="1" t="s">
        <v>684</v>
      </c>
      <c r="C686" t="str">
        <f>IFERROR(__xludf.DUMMYFUNCTION("GOOGLETRANSLATE(B686, ""fr"", ""en"")"),"Perfect - Beware of warranty AirPods 2 with wireless charging as agreed! holds great battery, its strong and dynamic: Low good and replay of the great voice! Tell Siri really works well, no need to speak loudly. focus just well enable Apple warranty: the "&amp;"purchase date is not known by Apple, suddenly if not send the invoice Amazon to Apple, the start date of the warranty will be the date the AirPods were delivered AMAZON!")</f>
        <v>Perfect - Beware of warranty AirPods 2 with wireless charging as agreed! holds great battery, its strong and dynamic: Low good and replay of the great voice! Tell Siri really works well, no need to speak loudly. focus just well enable Apple warranty: the purchase date is not known by Apple, suddenly if not send the invoice Amazon to Apple, the start date of the warranty will be the date the AirPods were delivered AMAZON!</v>
      </c>
    </row>
    <row r="687">
      <c r="A687" s="1">
        <v>4.0</v>
      </c>
      <c r="B687" s="1" t="s">
        <v>685</v>
      </c>
      <c r="C687" t="str">
        <f>IFERROR(__xludf.DUMMYFUNCTION("GOOGLETRANSLATE(B687, ""fr"", ""en"")"),"Not bad Put in two very humid rooms. Results the next day. Small flat, it snaps and poorly water (which turns blue) stain. Must be cleaned immediately. Otherwise I am quite satisfied for the small price")</f>
        <v>Not bad Put in two very humid rooms. Results the next day. Small flat, it snaps and poorly water (which turns blue) stain. Must be cleaned immediately. Otherwise I am quite satisfied for the small price</v>
      </c>
    </row>
    <row r="688">
      <c r="A688" s="1">
        <v>5.0</v>
      </c>
      <c r="B688" s="1" t="s">
        <v>686</v>
      </c>
      <c r="C688" t="str">
        <f>IFERROR(__xludf.DUMMYFUNCTION("GOOGLETRANSLATE(B688, ""fr"", ""en"")"),"adjustable temperature value for money. Beautiful Electric Kettle, express delivery is very rapide.👏👏 I received it the next day after placing the order, so I'm so happy. The kettle heats water quickly, the temperature inside the kettle is visible and c"&amp;"an be adjusted, which is very convenient. I really like this tea, satisfied! Money! Money!")</f>
        <v>adjustable temperature value for money. Beautiful Electric Kettle, express delivery is very rapide.👏👏 I received it the next day after placing the order, so I'm so happy. The kettle heats water quickly, the temperature inside the kettle is visible and can be adjusted, which is very convenient. I really like this tea, satisfied! Money! Money!</v>
      </c>
    </row>
    <row r="689">
      <c r="A689" s="1">
        <v>5.0</v>
      </c>
      <c r="B689" s="1" t="s">
        <v>687</v>
      </c>
      <c r="C689" t="str">
        <f>IFERROR(__xludf.DUMMYFUNCTION("GOOGLETRANSLATE(B689, ""fr"", ""en"")"),"Perfect A bit expensive but great efficiency, I recommend.")</f>
        <v>Perfect A bit expensive but great efficiency, I recommend.</v>
      </c>
    </row>
    <row r="690">
      <c r="A690" s="1">
        <v>5.0</v>
      </c>
      <c r="B690" s="1" t="s">
        <v>688</v>
      </c>
      <c r="C690" t="str">
        <f>IFERROR(__xludf.DUMMYFUNCTION("GOOGLETRANSLATE(B690, ""fr"", ""en"")"),"practice consistent with the description")</f>
        <v>practice consistent with the description</v>
      </c>
    </row>
    <row r="691">
      <c r="A691" s="1">
        <v>5.0</v>
      </c>
      <c r="B691" s="1" t="s">
        <v>689</v>
      </c>
      <c r="C691" t="str">
        <f>IFERROR(__xludf.DUMMYFUNCTION("GOOGLETRANSLATE(B691, ""fr"", ""en"")"),"very beautiful encyclopedia I wanted a book about animals for my son passionate and well this one fits the bill images are stunning and explanations not too long just right.")</f>
        <v>very beautiful encyclopedia I wanted a book about animals for my son passionate and well this one fits the bill images are stunning and explanations not too long just right.</v>
      </c>
    </row>
    <row r="692">
      <c r="A692" s="1">
        <v>5.0</v>
      </c>
      <c r="B692" s="1" t="s">
        <v>690</v>
      </c>
      <c r="C692" t="str">
        <f>IFERROR(__xludf.DUMMYFUNCTION("GOOGLETRANSLATE(B692, ""fr"", ""en"")"),"Very good value for money. Ideal for family use. Very easy installation. French manual. Very good sound for family use (tested Karaoke family). The signal carries at least 10 meters. Autonomy 3 to 4 hours. Very good value for money.")</f>
        <v>Very good value for money. Ideal for family use. Very easy installation. French manual. Very good sound for family use (tested Karaoke family). The signal carries at least 10 meters. Autonomy 3 to 4 hours. Very good value for money.</v>
      </c>
    </row>
    <row r="693">
      <c r="A693" s="1">
        <v>5.0</v>
      </c>
      <c r="B693" s="1" t="s">
        <v>691</v>
      </c>
      <c r="C693" t="str">
        <f>IFERROR(__xludf.DUMMYFUNCTION("GOOGLETRANSLATE(B693, ""fr"", ""en"")"),"His perfect I ordered this product especially for watching TV for a helmet that is not obvious to put up with. The product itself is wonderful and light. The sound quality is very good. I do not have it running test but only in the street and the earbuds "&amp;"hold well. I am very happy with this product.")</f>
        <v>His perfect I ordered this product especially for watching TV for a helmet that is not obvious to put up with. The product itself is wonderful and light. The sound quality is very good. I do not have it running test but only in the street and the earbuds hold well. I am very happy with this product.</v>
      </c>
    </row>
    <row r="694">
      <c r="A694" s="1">
        <v>5.0</v>
      </c>
      <c r="B694" s="1" t="s">
        <v>692</v>
      </c>
      <c r="C694" t="str">
        <f>IFERROR(__xludf.DUMMYFUNCTION("GOOGLETRANSLATE(B694, ""fr"", ""en"")"),"Excellent value for this price these markers are just awesome daughters fell in love look at the pictures: drawing on rollers on llamas ceramic. The colors are beautiful, the unknown brand but apparently quality A very good pick.")</f>
        <v>Excellent value for this price these markers are just awesome daughters fell in love look at the pictures: drawing on rollers on llamas ceramic. The colors are beautiful, the unknown brand but apparently quality A very good pick.</v>
      </c>
    </row>
    <row r="695">
      <c r="A695" s="1">
        <v>5.0</v>
      </c>
      <c r="B695" s="1" t="s">
        <v>693</v>
      </c>
      <c r="C695" t="str">
        <f>IFERROR(__xludf.DUMMYFUNCTION("GOOGLETRANSLATE(B695, ""fr"", ""en"")"),"For perfectly brewed tea! From the time that I wanted and that's without regret! It is very easy to use. I can finally drink my tea without burning the leaves to 100 ° C (which is a shame when buying loose tea of ​​good quality) and I have to wait too lon"&amp;"g to drink. In addition, the water heats very quickly! The only point I like least is that I had to connect to a domino with switch off because even I felt she warmed a little. Personally, I do not have that chemical taste which many people seem to compla"&amp;"in. I can do without it and come back for the world to a conventional kettle!")</f>
        <v>For perfectly brewed tea! From the time that I wanted and that's without regret! It is very easy to use. I can finally drink my tea without burning the leaves to 100 ° C (which is a shame when buying loose tea of ​​good quality) and I have to wait too long to drink. In addition, the water heats very quickly! The only point I like least is that I had to connect to a domino with switch off because even I felt she warmed a little. Personally, I do not have that chemical taste which many people seem to complain. I can do without it and come back for the world to a conventional kettle!</v>
      </c>
    </row>
    <row r="696">
      <c r="A696" s="1">
        <v>5.0</v>
      </c>
      <c r="B696" s="1" t="s">
        <v>694</v>
      </c>
      <c r="C696" t="str">
        <f>IFERROR(__xludf.DUMMYFUNCTION("GOOGLETRANSLATE(B696, ""fr"", ""en"")"),"Bensimon tennis Perfect as usual, I have these shoes in different colors and white, very fashionable at the moment they are even more shoes belles.Je of usually 39 and they fit me perfectly. Generally I spend in the machine 40 degrees it take flawlessly c"&amp;"olor.")</f>
        <v>Bensimon tennis Perfect as usual, I have these shoes in different colors and white, very fashionable at the moment they are even more shoes belles.Je of usually 39 and they fit me perfectly. Generally I spend in the machine 40 degrees it take flawlessly color.</v>
      </c>
    </row>
    <row r="697">
      <c r="A697" s="1">
        <v>5.0</v>
      </c>
      <c r="B697" s="1" t="s">
        <v>695</v>
      </c>
      <c r="C697" t="str">
        <f>IFERROR(__xludf.DUMMYFUNCTION("GOOGLETRANSLATE(B697, ""fr"", ""en"")"),"Super super super nice quality")</f>
        <v>Super super super nice quality</v>
      </c>
    </row>
    <row r="698">
      <c r="A698" s="1">
        <v>5.0</v>
      </c>
      <c r="B698" s="1" t="s">
        <v>696</v>
      </c>
      <c r="C698" t="str">
        <f>IFERROR(__xludf.DUMMYFUNCTION("GOOGLETRANSLATE(B698, ""fr"", ""en"")"),"270 My son is happy I recommend")</f>
        <v>270 My son is happy I recommend</v>
      </c>
    </row>
    <row r="699">
      <c r="A699" s="1">
        <v>5.0</v>
      </c>
      <c r="B699" s="1" t="s">
        <v>697</v>
      </c>
      <c r="C699" t="str">
        <f>IFERROR(__xludf.DUMMYFUNCTION("GOOGLETRANSLATE(B699, ""fr"", ""en"")"),"quality look comfortable shoes for everyday, office, relaxation, comfort, timeless look, the quality of leather and sole")</f>
        <v>quality look comfortable shoes for everyday, office, relaxation, comfort, timeless look, the quality of leather and sole</v>
      </c>
    </row>
    <row r="700">
      <c r="A700" s="1">
        <v>5.0</v>
      </c>
      <c r="B700" s="1" t="s">
        <v>698</v>
      </c>
      <c r="C700" t="str">
        <f>IFERROR(__xludf.DUMMYFUNCTION("GOOGLETRANSLATE(B700, ""fr"", ""en"")"),"Perfect 👍 Great product, I recommend")</f>
        <v>Perfect 👍 Great product, I recommend</v>
      </c>
    </row>
    <row r="701">
      <c r="A701" s="1">
        <v>5.0</v>
      </c>
      <c r="B701" s="1" t="s">
        <v>699</v>
      </c>
      <c r="C701" t="str">
        <f>IFERROR(__xludf.DUMMYFUNCTION("GOOGLETRANSLATE(B701, ""fr"", ""en"")"),"Excelent product, but respect the demands which I quote Great product and very good value for money. However, I allow me to add things on the comments I've read. 1- First you have to take its size, see one size up for me ""L"" is my size and it's perfect."&amp;" But yes it is close to the body, and it is the goal if we want to feel the heat. 2- I recommend wearing a t-shirt, for 2 reasons: hygiene (washing the jacket at hand, and in order to feel the heat without ""burning"", because it heats very well, but of c"&amp;"ourse there. must wear clothing over (motorcycle jacket, skiing or other). 3 the choice of the external battery should be towards a model DELIVERING at least 1A quite sufficient, the 2A being better now. I think some of the problems do not feel the heat d"&amp;"oes not meet these requirements. Finally, we feel the lap heat, just under the lower back, and soon enough the upper back. But the heat is truly present, that's great. a purchase perfect")</f>
        <v>Excelent product, but respect the demands which I quote Great product and very good value for money. However, I allow me to add things on the comments I've read. 1- First you have to take its size, see one size up for me "L" is my size and it's perfect. But yes it is close to the body, and it is the goal if we want to feel the heat. 2- I recommend wearing a t-shirt, for 2 reasons: hygiene (washing the jacket at hand, and in order to feel the heat without "burning", because it heats very well, but of course there. must wear clothing over (motorcycle jacket, skiing or other). 3 the choice of the external battery should be towards a model DELIVERING at least 1A quite sufficient, the 2A being better now. I think some of the problems do not feel the heat does not meet these requirements. Finally, we feel the lap heat, just under the lower back, and soon enough the upper back. But the heat is truly present, that's great. a purchase perfect</v>
      </c>
    </row>
    <row r="702">
      <c r="A702" s="1">
        <v>5.0</v>
      </c>
      <c r="B702" s="1" t="s">
        <v>700</v>
      </c>
      <c r="C702" t="str">
        <f>IFERROR(__xludf.DUMMYFUNCTION("GOOGLETRANSLATE(B702, ""fr"", ""en"")"),"Great but noisy! It is very stylish and I was not expecting it to be as big, however it quite noisy, not ideal for midnight teas")</f>
        <v>Great but noisy! It is very stylish and I was not expecting it to be as big, however it quite noisy, not ideal for midnight teas</v>
      </c>
    </row>
    <row r="703">
      <c r="A703" s="1">
        <v>2.0</v>
      </c>
      <c r="B703" s="1" t="s">
        <v>701</v>
      </c>
      <c r="C703" t="str">
        <f>IFERROR(__xludf.DUMMYFUNCTION("GOOGLETRANSLATE(B703, ""fr"", ""en"")"),"Poor Watch very pretty, but too fragile, the part that holds the bracelet already surrendered and the dial can no longer maintain the small room.")</f>
        <v>Poor Watch very pretty, but too fragile, the part that holds the bracelet already surrendered and the dial can no longer maintain the small room.</v>
      </c>
    </row>
    <row r="704">
      <c r="A704" s="1">
        <v>1.0</v>
      </c>
      <c r="B704" s="1" t="s">
        <v>702</v>
      </c>
      <c r="C704" t="str">
        <f>IFERROR(__xludf.DUMMYFUNCTION("GOOGLETRANSLATE(B704, ""fr"", ""en"")"),"Take a size bigger (or two) My husband're a fan of this brand always but it's great anything too small and drawstring hood're just hurt Delivered on time")</f>
        <v>Take a size bigger (or two) My husband're a fan of this brand always but it's great anything too small and drawstring hood're just hurt Delivered on time</v>
      </c>
    </row>
    <row r="705">
      <c r="A705" s="1">
        <v>1.0</v>
      </c>
      <c r="B705" s="1" t="s">
        <v>703</v>
      </c>
      <c r="C705" t="str">
        <f>IFERROR(__xludf.DUMMYFUNCTION("GOOGLETRANSLATE(B705, ""fr"", ""en"")"),"I want my size S-Large")</f>
        <v>I want my size S-Large</v>
      </c>
    </row>
    <row r="706">
      <c r="A706" s="1">
        <v>3.0</v>
      </c>
      <c r="B706" s="1" t="s">
        <v>704</v>
      </c>
      <c r="C706" t="str">
        <f>IFERROR(__xludf.DUMMYFUNCTION("GOOGLETRANSLATE(B706, ""fr"", ""en"")"),"Not so incredible to the campsite I'm tempted by the positive comments, and bought a pair of Crocs to complement my hiking boots for 2 weeks of trekking + camping on the way to Stevenson: + they are light + they take good feet + easy to clean + we can go "&amp;"in the water with - despite the holes, the foot is not breathable, moisture and perspiration remained, even walking - wet, it is loss of adhesion (at the foot and the ground) - the plastic top rubs on the thinnest skin and wound me when worn over an hour "&amp;"(should have been wearing socks ...) - it is cumbersome to put in a bag, because of the sole that is very large relative to the foot - the shoe is really not compressible to fit into a bag (it is easily deformed but is then distorted)")</f>
        <v>Not so incredible to the campsite I'm tempted by the positive comments, and bought a pair of Crocs to complement my hiking boots for 2 weeks of trekking + camping on the way to Stevenson: + they are light + they take good feet + easy to clean + we can go in the water with - despite the holes, the foot is not breathable, moisture and perspiration remained, even walking - wet, it is loss of adhesion (at the foot and the ground) - the plastic top rubs on the thinnest skin and wound me when worn over an hour (should have been wearing socks ...) - it is cumbersome to put in a bag, because of the sole that is very large relative to the foot - the shoe is really not compressible to fit into a bag (it is easily deformed but is then distorted)</v>
      </c>
    </row>
    <row r="707">
      <c r="A707" s="1">
        <v>4.0</v>
      </c>
      <c r="B707" s="1" t="s">
        <v>705</v>
      </c>
      <c r="C707" t="str">
        <f>IFERROR(__xludf.DUMMYFUNCTION("GOOGLETRANSLATE(B707, ""fr"", ""en"")"),"Received box cracked pot on time but the high pot cracked down otherwise after a first application the product has given a facelift to leather boots see in time")</f>
        <v>Received box cracked pot on time but the high pot cracked down otherwise after a first application the product has given a facelift to leather boots see in time</v>
      </c>
    </row>
    <row r="708">
      <c r="A708" s="1">
        <v>4.0</v>
      </c>
      <c r="B708" s="1" t="s">
        <v>706</v>
      </c>
      <c r="C708" t="str">
        <f>IFERROR(__xludf.DUMMYFUNCTION("GOOGLETRANSLATE(B708, ""fr"", ""en"")"),"Size large but the color is pretty nice tracksuit jacket. The pink color is beautiful but large in size. I still kept but I return the sleeves !!!!")</f>
        <v>Size large but the color is pretty nice tracksuit jacket. The pink color is beautiful but large in size. I still kept but I return the sleeves !!!!</v>
      </c>
    </row>
    <row r="709">
      <c r="A709" s="1">
        <v>4.0</v>
      </c>
      <c r="B709" s="1" t="s">
        <v>707</v>
      </c>
      <c r="C709" t="str">
        <f>IFERROR(__xludf.DUMMYFUNCTION("GOOGLETRANSLATE(B709, ""fr"", ""en"")"),"shaft bottle product according to the picture, original. only downside packaging, by receiving I was afraid to discover the content but in the end it was all there and nothing broken.")</f>
        <v>shaft bottle product according to the picture, original. only downside packaging, by receiving I was afraid to discover the content but in the end it was all there and nothing broken.</v>
      </c>
    </row>
    <row r="710">
      <c r="A710" s="1">
        <v>4.0</v>
      </c>
      <c r="B710" s="1" t="s">
        <v>708</v>
      </c>
      <c r="C710" t="str">
        <f>IFERROR(__xludf.DUMMYFUNCTION("GOOGLETRANSLATE(B710, ""fr"", ""en"")"),"A purchase satisfactory and consistent with the description It toaster perfectly meets my expectations: speed, quality toast, ease of use, everything is perfect! ... except I could not use the device yesterday (Father's Day gift!) and I see that an access"&amp;"ory is missing: the warm pastry that is normally included. Too late to make a complaint. I therefore recommend to thoroughly check the contents of the box. Too bad, I could have been totally satisfied")</f>
        <v>A purchase satisfactory and consistent with the description It toaster perfectly meets my expectations: speed, quality toast, ease of use, everything is perfect! ... except I could not use the device yesterday (Father's Day gift!) and I see that an accessory is missing: the warm pastry that is normally included. Too late to make a complaint. I therefore recommend to thoroughly check the contents of the box. Too bad, I could have been totally satisfied</v>
      </c>
    </row>
    <row r="711">
      <c r="A711" s="1">
        <v>5.0</v>
      </c>
      <c r="B711" s="1" t="s">
        <v>709</v>
      </c>
      <c r="C711" t="str">
        <f>IFERROR(__xludf.DUMMYFUNCTION("GOOGLETRANSLATE(B711, ""fr"", ""en"")"),"Top True to the brand for many years, never disappointed, the quality is still the rendezvous. Make it lasts !!")</f>
        <v>Top True to the brand for many years, never disappointed, the quality is still the rendezvous. Make it lasts !!</v>
      </c>
    </row>
    <row r="712">
      <c r="A712" s="1">
        <v>5.0</v>
      </c>
      <c r="B712" s="1" t="s">
        <v>710</v>
      </c>
      <c r="C712" t="str">
        <f>IFERROR(__xludf.DUMMYFUNCTION("GOOGLETRANSLATE(B712, ""fr"", ""en"")"),"Very good very satisfied I order two more in other colors")</f>
        <v>Very good very satisfied I order two more in other colors</v>
      </c>
    </row>
    <row r="713">
      <c r="A713" s="1">
        <v>5.0</v>
      </c>
      <c r="B713" s="1" t="s">
        <v>711</v>
      </c>
      <c r="C713" t="str">
        <f>IFERROR(__xludf.DUMMYFUNCTION("GOOGLETRANSLATE(B713, ""fr"", ""en"")"),"Delighted Met my expectations. Change the traditional draining bottles. Very nice on my workbench. I use it for baby bottles but also for bottles in which I make soda and those hard plastic Tupp.")</f>
        <v>Delighted Met my expectations. Change the traditional draining bottles. Very nice on my workbench. I use it for baby bottles but also for bottles in which I make soda and those hard plastic Tupp.</v>
      </c>
    </row>
    <row r="714">
      <c r="A714" s="1">
        <v>5.0</v>
      </c>
      <c r="B714" s="1" t="s">
        <v>712</v>
      </c>
      <c r="C714" t="str">
        <f>IFERROR(__xludf.DUMMYFUNCTION("GOOGLETRANSLATE(B714, ""fr"", ""en"")"),"Top Ultra top to set machine. Removes hair and fluff clothing. Accelerates drying laundry. Help wash.")</f>
        <v>Top Ultra top to set machine. Removes hair and fluff clothing. Accelerates drying laundry. Help wash.</v>
      </c>
    </row>
    <row r="715">
      <c r="A715" s="1">
        <v>5.0</v>
      </c>
      <c r="B715" s="1" t="s">
        <v>713</v>
      </c>
      <c r="C715" t="str">
        <f>IFERROR(__xludf.DUMMYFUNCTION("GOOGLETRANSLATE(B715, ""fr"", ""en"")"),"AKG K240 MKII An excellent semi-open headphones circum-aural, it is impressive but it is doing long hours without problem on the head. We do not feel the weight, it does not compress the ears (it does not touch) and the wire is long enough to forget a lit"&amp;"tle. Be careful though if you are not alone, pushing the volume a bit, people around you will hear good music too! For the sound quality, I let you look at specialized sites, for my part, I find it adequate for my ears. Updated: Buy early 2016 for a seden"&amp;"tary use at work, the ear of leatherette starting to show very little wear for everyday use several hours a day. Other than that, no problem.")</f>
        <v>AKG K240 MKII An excellent semi-open headphones circum-aural, it is impressive but it is doing long hours without problem on the head. We do not feel the weight, it does not compress the ears (it does not touch) and the wire is long enough to forget a little. Be careful though if you are not alone, pushing the volume a bit, people around you will hear good music too! For the sound quality, I let you look at specialized sites, for my part, I find it adequate for my ears. Updated: Buy early 2016 for a sedentary use at work, the ear of leatherette starting to show very little wear for everyday use several hours a day. Other than that, no problem.</v>
      </c>
    </row>
    <row r="716">
      <c r="A716" s="1">
        <v>5.0</v>
      </c>
      <c r="B716" s="1" t="s">
        <v>714</v>
      </c>
      <c r="C716" t="str">
        <f>IFERROR(__xludf.DUMMYFUNCTION("GOOGLETRANSLATE(B716, ""fr"", ""en"")"),"Super very satisfied with these pods boxes!")</f>
        <v>Super very satisfied with these pods boxes!</v>
      </c>
    </row>
    <row r="717">
      <c r="A717" s="1">
        <v>5.0</v>
      </c>
      <c r="B717" s="1" t="s">
        <v>715</v>
      </c>
      <c r="C717" t="str">
        <f>IFERROR(__xludf.DUMMYFUNCTION("GOOGLETRANSLATE(B717, ""fr"", ""en"")"),"For the welfare of shoulder pain and knee and since its use, I feel much better. I recommend this product. I add the essential oil of wintergreen, and its effect is guaranteed")</f>
        <v>For the welfare of shoulder pain and knee and since its use, I feel much better. I recommend this product. I add the essential oil of wintergreen, and its effect is guaranteed</v>
      </c>
    </row>
    <row r="718">
      <c r="A718" s="1">
        <v>5.0</v>
      </c>
      <c r="B718" s="1" t="s">
        <v>716</v>
      </c>
      <c r="C718" t="str">
        <f>IFERROR(__xludf.DUMMYFUNCTION("GOOGLETRANSLATE(B718, ""fr"", ""en"")"),"Calculator requested to college Purchased for college. Ras. That of my son 2 years and only the protective shell is cracked but not alone ... I think")</f>
        <v>Calculator requested to college Purchased for college. Ras. That of my son 2 years and only the protective shell is cracked but not alone ... I think</v>
      </c>
    </row>
    <row r="719">
      <c r="A719" s="1">
        <v>5.0</v>
      </c>
      <c r="B719" s="1" t="s">
        <v>717</v>
      </c>
      <c r="C719" t="str">
        <f>IFERROR(__xludf.DUMMYFUNCTION("GOOGLETRANSLATE(B719, ""fr"", ""en"")"),"Treasury good price / quality ratio! My husband tested them yesterday and all day today. He loves the sound quality. The two headphones can work together or independently. There is the handsfree function and if pressed three times over ""&amp; nbsp; &amp; nbsp si"&amp;"ri;"" sets off on iPhone. When the door unlike other pairs he was able to buy one is not disturbed by the music escaping from the earpiece so the same door at work workshop without it disturbs around him . Everything happened already charged and ready to "&amp;"use. The headphones recharged in the base and in 48h test he has yet to charge the base. Everything went very quickly connected just read the instructions and do what is says it is super simple. Thank you !")</f>
        <v>Treasury good price / quality ratio! My husband tested them yesterday and all day today. He loves the sound quality. The two headphones can work together or independently. There is the handsfree function and if pressed three times over "&amp; nbsp; &amp; nbsp siri;" sets off on iPhone. When the door unlike other pairs he was able to buy one is not disturbed by the music escaping from the earpiece so the same door at work workshop without it disturbs around him . Everything happened already charged and ready to use. The headphones recharged in the base and in 48h test he has yet to charge the base. Everything went very quickly connected just read the instructions and do what is says it is super simple. Thank you !</v>
      </c>
    </row>
    <row r="720">
      <c r="A720" s="1">
        <v>5.0</v>
      </c>
      <c r="B720" s="1" t="s">
        <v>718</v>
      </c>
      <c r="C720" t="str">
        <f>IFERROR(__xludf.DUMMYFUNCTION("GOOGLETRANSLATE(B720, ""fr"", ""en"")"),"Qualities price Satisfied")</f>
        <v>Qualities price Satisfied</v>
      </c>
    </row>
    <row r="721">
      <c r="A721" s="1">
        <v>5.0</v>
      </c>
      <c r="B721" s="1" t="s">
        <v>719</v>
      </c>
      <c r="C721" t="str">
        <f>IFERROR(__xludf.DUMMYFUNCTION("GOOGLETRANSLATE(B721, ""fr"", ""en"")"),"Practical and very solid Agenda paratique, cover and paper are good. The appearance of this product is very professional.")</f>
        <v>Practical and very solid Agenda paratique, cover and paper are good. The appearance of this product is very professional.</v>
      </c>
    </row>
    <row r="722">
      <c r="A722" s="1">
        <v>5.0</v>
      </c>
      <c r="B722" s="1" t="s">
        <v>720</v>
      </c>
      <c r="C722" t="str">
        <f>IFERROR(__xludf.DUMMYFUNCTION("GOOGLETRANSLATE(B722, ""fr"", ""en"")"),"superb sneakers I'm addicted to this model! this is my fifth pair! Very comfortable very good Value price for a shoe at Nike")</f>
        <v>superb sneakers I'm addicted to this model! this is my fifth pair! Very comfortable very good Value price for a shoe at Nike</v>
      </c>
    </row>
    <row r="723">
      <c r="A723" s="1">
        <v>5.0</v>
      </c>
      <c r="B723" s="1" t="s">
        <v>721</v>
      </c>
      <c r="C723" t="str">
        <f>IFERROR(__xludf.DUMMYFUNCTION("GOOGLETRANSLATE(B723, ""fr"", ""en"")"),"Absolutely perfect Super nice, nice cut, beautiful fabrics fell ... nice photo corresponds to reality, no disappointment at the reception.")</f>
        <v>Absolutely perfect Super nice, nice cut, beautiful fabrics fell ... nice photo corresponds to reality, no disappointment at the reception.</v>
      </c>
    </row>
    <row r="724">
      <c r="A724" s="1">
        <v>5.0</v>
      </c>
      <c r="B724" s="1" t="s">
        <v>722</v>
      </c>
      <c r="C724" t="str">
        <f>IFERROR(__xludf.DUMMYFUNCTION("GOOGLETRANSLATE(B724, ""fr"", ""en"")"),"Bag Man Bag of good manufacturing, robust and well arranged. His style mat suit both a student has an older man. The seams are strong and neat, all this well.")</f>
        <v>Bag Man Bag of good manufacturing, robust and well arranged. His style mat suit both a student has an older man. The seams are strong and neat, all this well.</v>
      </c>
    </row>
    <row r="725">
      <c r="A725" s="1">
        <v>5.0</v>
      </c>
      <c r="B725" s="1" t="s">
        <v>723</v>
      </c>
      <c r="C725" t="str">
        <f>IFERROR(__xludf.DUMMYFUNCTION("GOOGLETRANSLATE(B725, ""fr"", ""en"")"),"Perfect This is exactly the sweater I wanted, I had the chance XL fit me perfectly, levi's is top and hopefully keep it long")</f>
        <v>Perfect This is exactly the sweater I wanted, I had the chance XL fit me perfectly, levi's is top and hopefully keep it long</v>
      </c>
    </row>
    <row r="726">
      <c r="A726" s="1">
        <v>5.0</v>
      </c>
      <c r="B726" s="1" t="s">
        <v>724</v>
      </c>
      <c r="C726" t="str">
        <f>IFERROR(__xludf.DUMMYFUNCTION("GOOGLETRANSLATE(B726, ""fr"", ""en"")"),"I enjoyed comfortable earphones because they are quite comfortable with a very acceptable sound quality.")</f>
        <v>I enjoyed comfortable earphones because they are quite comfortable with a very acceptable sound quality.</v>
      </c>
    </row>
    <row r="727">
      <c r="A727" s="1">
        <v>2.0</v>
      </c>
      <c r="B727" s="1" t="s">
        <v>725</v>
      </c>
      <c r="C727" t="str">
        <f>IFERROR(__xludf.DUMMYFUNCTION("GOOGLETRANSLATE(B727, ""fr"", ""en"")"),"Counterfeiting? We can ask ourselves the question. After giving a very positive assessment at first about this vendor, reflection and observation further make me revise my judgment. The watch was not delivered in a CASIO box, no manual or invoice. A simpl"&amp;"e plastic bag that displays the reference of the watch (A168WA 1YES) which does not correspond to that labeled on the product (A168WEGC-3DF). In addition, there is a defect at the screen: it is not fixed to the case, it sinks slightly to the left when pre"&amp;"ssed. All these remarks are that one can ask about the seriousness of the seller and the authenticity of the Casio brand. In my opinion, seller forget. Additional precision: I bought a second watch with AMAZON but with another seller, which itself came wi"&amp;"th CASIO case, instructions and invoice. You can ask questions, right?")</f>
        <v>Counterfeiting? We can ask ourselves the question. After giving a very positive assessment at first about this vendor, reflection and observation further make me revise my judgment. The watch was not delivered in a CASIO box, no manual or invoice. A simple plastic bag that displays the reference of the watch (A168WA 1YES) which does not correspond to that labeled on the product (A168WEGC-3DF). In addition, there is a defect at the screen: it is not fixed to the case, it sinks slightly to the left when pressed. All these remarks are that one can ask about the seriousness of the seller and the authenticity of the Casio brand. In my opinion, seller forget. Additional precision: I bought a second watch with AMAZON but with another seller, which itself came with CASIO case, instructions and invoice. You can ask questions, right?</v>
      </c>
    </row>
    <row r="728">
      <c r="A728" s="1">
        <v>1.0</v>
      </c>
      <c r="B728" s="1" t="s">
        <v>726</v>
      </c>
      <c r="C728" t="str">
        <f>IFERROR(__xludf.DUMMYFUNCTION("GOOGLETRANSLATE(B728, ""fr"", ""en"")"),"default or quality issue? The strap is more flexible than the original. It is also more fragile.il took just three months for it tears at his clings to watch.")</f>
        <v>default or quality issue? The strap is more flexible than the original. It is also more fragile.il took just three months for it tears at his clings to watch.</v>
      </c>
    </row>
    <row r="729">
      <c r="A729" s="1">
        <v>3.0</v>
      </c>
      <c r="B729" s="1" t="s">
        <v>727</v>
      </c>
      <c r="C729" t="str">
        <f>IFERROR(__xludf.DUMMYFUNCTION("GOOGLETRANSLATE(B729, ""fr"", ""en"")"),"Good but slippery Sounds good, but comfortable soles slip too much on tiles")</f>
        <v>Good but slippery Sounds good, but comfortable soles slip too much on tiles</v>
      </c>
    </row>
    <row r="730">
      <c r="A730" s="1">
        <v>3.0</v>
      </c>
      <c r="B730" s="1" t="s">
        <v>728</v>
      </c>
      <c r="C730" t="str">
        <f>IFERROR(__xludf.DUMMYFUNCTION("GOOGLETRANSLATE(B730, ""fr"", ""en"")"),"For the price it is unbeatable. For the price it is unbeatable.")</f>
        <v>For the price it is unbeatable. For the price it is unbeatable.</v>
      </c>
    </row>
    <row r="731">
      <c r="A731" s="1">
        <v>4.0</v>
      </c>
      <c r="B731" s="1" t="s">
        <v>729</v>
      </c>
      <c r="C731" t="str">
        <f>IFERROR(__xludf.DUMMYFUNCTION("GOOGLETRANSLATE(B731, ""fr"", ""en"")"),"sports pants very comfortable easy care")</f>
        <v>sports pants very comfortable easy care</v>
      </c>
    </row>
    <row r="732">
      <c r="A732" s="1">
        <v>4.0</v>
      </c>
      <c r="B732" s="1" t="s">
        <v>730</v>
      </c>
      <c r="C732" t="str">
        <f>IFERROR(__xludf.DUMMYFUNCTION("GOOGLETRANSLATE(B732, ""fr"", ""en"")"),"My strength sports Very comfortable. This is to make room. Not too hot and adapts very well to all the feet")</f>
        <v>My strength sports Very comfortable. This is to make room. Not too hot and adapts very well to all the feet</v>
      </c>
    </row>
    <row r="733">
      <c r="A733" s="1">
        <v>4.0</v>
      </c>
      <c r="B733" s="1" t="s">
        <v>731</v>
      </c>
      <c r="C733" t="str">
        <f>IFERROR(__xludf.DUMMYFUNCTION("GOOGLETRANSLATE(B733, ""fr"", ""en"")"),"Good coffee Beautiful design, easy to use and even to program. Nice to read the time on the coffee maker. My only downside: hard to spot the water level of the gauge of net reservoir marking the graduation of the jug begins only 8 cups ... I'm still strug"&amp;"gling with the right mix for small quantities of coffee. Apart Ela frankly it's a great product.")</f>
        <v>Good coffee Beautiful design, easy to use and even to program. Nice to read the time on the coffee maker. My only downside: hard to spot the water level of the gauge of net reservoir marking the graduation of the jug begins only 8 cups ... I'm still struggling with the right mix for small quantities of coffee. Apart Ela frankly it's a great product.</v>
      </c>
    </row>
    <row r="734">
      <c r="A734" s="1">
        <v>4.0</v>
      </c>
      <c r="B734" s="1" t="s">
        <v>732</v>
      </c>
      <c r="C734" t="str">
        <f>IFERROR(__xludf.DUMMYFUNCTION("GOOGLETRANSLATE(B734, ""fr"", ""en"")"),"Keep warm slippers for man of quality. Keep warm, resistant, solid. resistant and anti slip soles. On slippers ago sequined son, a little disturbing given that these slippers for men, unfortunately.")</f>
        <v>Keep warm slippers for man of quality. Keep warm, resistant, solid. resistant and anti slip soles. On slippers ago sequined son, a little disturbing given that these slippers for men, unfortunately.</v>
      </c>
    </row>
    <row r="735">
      <c r="A735" s="1">
        <v>4.0</v>
      </c>
      <c r="B735" s="1" t="s">
        <v>733</v>
      </c>
      <c r="C735" t="str">
        <f>IFERROR(__xludf.DUMMYFUNCTION("GOOGLETRANSLATE(B735, ""fr"", ""en"")"),"Good quality very thick fabric, good quality, the person who received it is satisfied")</f>
        <v>Good quality very thick fabric, good quality, the person who received it is satisfied</v>
      </c>
    </row>
    <row r="736">
      <c r="A736" s="1">
        <v>5.0</v>
      </c>
      <c r="B736" s="1" t="s">
        <v>734</v>
      </c>
      <c r="C736" t="str">
        <f>IFERROR(__xludf.DUMMYFUNCTION("GOOGLETRANSLATE(B736, ""fr"", ""en"")"),"Softness Frankly well. ras")</f>
        <v>Softness Frankly well. ras</v>
      </c>
    </row>
    <row r="737">
      <c r="A737" s="1">
        <v>5.0</v>
      </c>
      <c r="B737" s="1" t="s">
        <v>735</v>
      </c>
      <c r="C737" t="str">
        <f>IFERROR(__xludf.DUMMYFUNCTION("GOOGLETRANSLATE(B737, ""fr"", ""en"")"),"It is too well the first time I'd do this style of jewelry darling she was thrilled find it very nice I recommend it changes a bracelet with a ring curls ears be inventive")</f>
        <v>It is too well the first time I'd do this style of jewelry darling she was thrilled find it very nice I recommend it changes a bracelet with a ring curls ears be inventive</v>
      </c>
    </row>
    <row r="738">
      <c r="A738" s="1">
        <v>5.0</v>
      </c>
      <c r="B738" s="1" t="s">
        <v>736</v>
      </c>
      <c r="C738" t="str">
        <f>IFERROR(__xludf.DUMMYFUNCTION("GOOGLETRANSLATE(B738, ""fr"", ""en"")"),"Delighted Beautiful jewelry, good quality I think I'll leave it around the neck of my daughter even dental ended thrust I even bought the bracelet !!")</f>
        <v>Delighted Beautiful jewelry, good quality I think I'll leave it around the neck of my daughter even dental ended thrust I even bought the bracelet !!</v>
      </c>
    </row>
    <row r="739">
      <c r="A739" s="1">
        <v>5.0</v>
      </c>
      <c r="B739" s="1" t="s">
        <v>737</v>
      </c>
      <c r="C739" t="str">
        <f>IFERROR(__xludf.DUMMYFUNCTION("GOOGLETRANSLATE(B739, ""fr"", ""en"")"),"Trainers solid! I bought a pair ago 10 years, very comfortable. Worn to the end (after retraining for work and mowing), we had a dog forces me to buy a pair! I bought another version of this basket, and after less than a year, I had holes in fold ... Ditt"&amp;"o for Adidas Gazelle quickly be worn in less than a year. .. After homecoming, I have no worries with this pair. Slight disappointment that the sole wears out faster than my previous model. I recommend a model of solidity and comfort!")</f>
        <v>Trainers solid! I bought a pair ago 10 years, very comfortable. Worn to the end (after retraining for work and mowing), we had a dog forces me to buy a pair! I bought another version of this basket, and after less than a year, I had holes in fold ... Ditto for Adidas Gazelle quickly be worn in less than a year. .. After homecoming, I have no worries with this pair. Slight disappointment that the sole wears out faster than my previous model. I recommend a model of solidity and comfort!</v>
      </c>
    </row>
    <row r="740">
      <c r="A740" s="1">
        <v>5.0</v>
      </c>
      <c r="B740" s="1" t="s">
        <v>738</v>
      </c>
      <c r="C740" t="str">
        <f>IFERROR(__xludf.DUMMYFUNCTION("GOOGLETRANSLATE(B740, ""fr"", ""en"")"),"Good shirt Not heavy, easily removable, it's a good product. Rather thin, so may not be suitable for very cold winter.")</f>
        <v>Good shirt Not heavy, easily removable, it's a good product. Rather thin, so may not be suitable for very cold winter.</v>
      </c>
    </row>
    <row r="741">
      <c r="A741" s="1">
        <v>5.0</v>
      </c>
      <c r="B741" s="1" t="s">
        <v>739</v>
      </c>
      <c r="C741" t="str">
        <f>IFERROR(__xludf.DUMMYFUNCTION("GOOGLETRANSLATE(B741, ""fr"", ""en"")"),"I recommend very nice bracelet")</f>
        <v>I recommend very nice bracelet</v>
      </c>
    </row>
    <row r="742">
      <c r="A742" s="1">
        <v>5.0</v>
      </c>
      <c r="B742" s="1" t="s">
        <v>740</v>
      </c>
      <c r="C742" t="str">
        <f>IFERROR(__xludf.DUMMYFUNCTION("GOOGLETRANSLATE(B742, ""fr"", ""en"")"),"good transaction good product")</f>
        <v>good transaction good product</v>
      </c>
    </row>
    <row r="743">
      <c r="A743" s="1">
        <v>5.0</v>
      </c>
      <c r="B743" s="1" t="s">
        <v>741</v>
      </c>
      <c r="C743" t="str">
        <f>IFERROR(__xludf.DUMMYFUNCTION("GOOGLETRANSLATE(B743, ""fr"", ""en"")"),"Okay, that's a very very good product!")</f>
        <v>Okay, that's a very very good product!</v>
      </c>
    </row>
    <row r="744">
      <c r="A744" s="1">
        <v>5.0</v>
      </c>
      <c r="B744" s="1" t="s">
        <v>742</v>
      </c>
      <c r="C744" t="str">
        <f>IFERROR(__xludf.DUMMYFUNCTION("GOOGLETRANSLATE(B744, ""fr"", ""en"")"),"Adidas stan Complies fast delivery")</f>
        <v>Adidas stan Complies fast delivery</v>
      </c>
    </row>
    <row r="745">
      <c r="A745" s="1">
        <v>5.0</v>
      </c>
      <c r="B745" s="1" t="s">
        <v>743</v>
      </c>
      <c r="C745" t="str">
        <f>IFERROR(__xludf.DUMMYFUNCTION("GOOGLETRANSLATE(B745, ""fr"", ""en"")"),"Hoody Very good quality, perfect size, suits my expectations, I recommend this product, value for money, delivery as expected")</f>
        <v>Hoody Very good quality, perfect size, suits my expectations, I recommend this product, value for money, delivery as expected</v>
      </c>
    </row>
    <row r="746">
      <c r="A746" s="1">
        <v>5.0</v>
      </c>
      <c r="B746" s="1" t="s">
        <v>744</v>
      </c>
      <c r="C746" t="str">
        <f>IFERROR(__xludf.DUMMYFUNCTION("GOOGLETRANSLATE(B746, ""fr"", ""en"")"),"Report quality price well rendezvous ... For photo printing I find no difference in the quality of the rendering. perfectly adaptable to my printer these cartridges do as well as the original ... even better, given the price that is incredible.")</f>
        <v>Report quality price well rendezvous ... For photo printing I find no difference in the quality of the rendering. perfectly adaptable to my printer these cartridges do as well as the original ... even better, given the price that is incredible.</v>
      </c>
    </row>
    <row r="747">
      <c r="A747" s="1">
        <v>5.0</v>
      </c>
      <c r="B747" s="1" t="s">
        <v>745</v>
      </c>
      <c r="C747" t="str">
        <f>IFERROR(__xludf.DUMMYFUNCTION("GOOGLETRANSLATE(B747, ""fr"", ""en"")"),"Too too well in Super cool and As expected for delivery")</f>
        <v>Too too well in Super cool and As expected for delivery</v>
      </c>
    </row>
    <row r="748">
      <c r="A748" s="1">
        <v>5.0</v>
      </c>
      <c r="B748" s="1" t="s">
        <v>746</v>
      </c>
      <c r="C748" t="str">
        <f>IFERROR(__xludf.DUMMYFUNCTION("GOOGLETRANSLATE(B748, ""fr"", ""en"")"),"The product is better than the photo can imagine. the finish is better than in the photo. (The latter could be better cropped, but do not be fooled: the products are really TOP pleasant to the touch and very smooth on the outer face!")</f>
        <v>The product is better than the photo can imagine. the finish is better than in the photo. (The latter could be better cropped, but do not be fooled: the products are really TOP pleasant to the touch and very smooth on the outer face!</v>
      </c>
    </row>
    <row r="749">
      <c r="A749" s="1">
        <v>5.0</v>
      </c>
      <c r="B749" s="1" t="s">
        <v>747</v>
      </c>
      <c r="C749" t="str">
        <f>IFERROR(__xludf.DUMMYFUNCTION("GOOGLETRANSLATE(B749, ""fr"", ""en"")"),"Pleased with my purchase size very well and is very pretty")</f>
        <v>Pleased with my purchase size very well and is very pretty</v>
      </c>
    </row>
    <row r="750">
      <c r="A750" s="1">
        <v>5.0</v>
      </c>
      <c r="B750" s="1" t="s">
        <v>748</v>
      </c>
      <c r="C750" t="str">
        <f>IFERROR(__xludf.DUMMYFUNCTION("GOOGLETRANSLATE(B750, ""fr"", ""en"")"),"MAM - BASE My son uses his bottles since birth. They are perfect. Easy-care robust. I would not change it for the world. Besides, it's simple, my son refuses all other bottles. In addition, the anti colic action is great.")</f>
        <v>MAM - BASE My son uses his bottles since birth. They are perfect. Easy-care robust. I would not change it for the world. Besides, it's simple, my son refuses all other bottles. In addition, the anti colic action is great.</v>
      </c>
    </row>
    <row r="751">
      <c r="A751" s="1">
        <v>2.0</v>
      </c>
      <c r="B751" s="1" t="s">
        <v>749</v>
      </c>
      <c r="C751" t="str">
        <f>IFERROR(__xludf.DUMMYFUNCTION("GOOGLETRANSLATE(B751, ""fr"", ""en"")"),"color error The product itself is fine, it is announced by against black in color when it is navy blue From")</f>
        <v>color error The product itself is fine, it is announced by against black in color when it is navy blue From</v>
      </c>
    </row>
    <row r="752">
      <c r="A752" s="1">
        <v>1.0</v>
      </c>
      <c r="B752" s="1" t="s">
        <v>750</v>
      </c>
      <c r="C752" t="str">
        <f>IFERROR(__xludf.DUMMYFUNCTION("GOOGLETRANSLATE(B752, ""fr"", ""en"")"),"I do not recommend this product! Essential oil has the name, almost odorless, efficiency!")</f>
        <v>I do not recommend this product! Essential oil has the name, almost odorless, efficiency!</v>
      </c>
    </row>
    <row r="753">
      <c r="A753" s="1">
        <v>1.0</v>
      </c>
      <c r="B753" s="1" t="s">
        <v>751</v>
      </c>
      <c r="C753" t="str">
        <f>IFERROR(__xludf.DUMMYFUNCTION("GOOGLETRANSLATE(B753, ""fr"", ""en"")"),"Earrings ear Do not match the picture frame is not money but very disappointed black metal doubt that the ear loops are silver")</f>
        <v>Earrings ear Do not match the picture frame is not money but very disappointed black metal doubt that the ear loops are silver</v>
      </c>
    </row>
    <row r="754">
      <c r="A754" s="1">
        <v>3.0</v>
      </c>
      <c r="B754" s="1" t="s">
        <v>752</v>
      </c>
      <c r="C754" t="str">
        <f>IFERROR(__xludf.DUMMYFUNCTION("GOOGLETRANSLATE(B754, ""fr"", ""en"")"),"very well Bought 7 euros, lasts about a year (even by many paint!). The colors are bright, mix well and can even be used for diluted ""watercolors."" Easy to clean all surfaces (floor, table, plastic, etc.) but not necessarily on fabrics ...")</f>
        <v>very well Bought 7 euros, lasts about a year (even by many paint!). The colors are bright, mix well and can even be used for diluted "watercolors." Easy to clean all surfaces (floor, table, plastic, etc.) but not necessarily on fabrics ...</v>
      </c>
    </row>
    <row r="755">
      <c r="A755" s="1">
        <v>3.0</v>
      </c>
      <c r="B755" s="1" t="s">
        <v>753</v>
      </c>
      <c r="C755" t="str">
        <f>IFERROR(__xludf.DUMMYFUNCTION("GOOGLETRANSLATE(B755, ""fr"", ""en"")"),"Kettle effective but .. Pretty loud and long to heat up. The design is nice and the grip too. Good value for money in general.")</f>
        <v>Kettle effective but .. Pretty loud and long to heat up. The design is nice and the grip too. Good value for money in general.</v>
      </c>
    </row>
    <row r="756">
      <c r="A756" s="1">
        <v>4.0</v>
      </c>
      <c r="B756" s="1" t="s">
        <v>754</v>
      </c>
      <c r="C756" t="str">
        <f>IFERROR(__xludf.DUMMYFUNCTION("GOOGLETRANSLATE(B756, ""fr"", ""en"")"),"perfect bracelet received today in light of comments I was very scared when has the quality of the bracelet is the pandora bracelet is not delivered in a pretty box in a plastic bag but I're open and I ' I immediately if the FTA there was inscription writ"&amp;"ten and yes I did not go to the check by a jeweler but I think it's a real after I am no expert in any case not all of my deçue Bracelet is really very beautiful")</f>
        <v>perfect bracelet received today in light of comments I was very scared when has the quality of the bracelet is the pandora bracelet is not delivered in a pretty box in a plastic bag but I're open and I ' I immediately if the FTA there was inscription written and yes I did not go to the check by a jeweler but I think it's a real after I am no expert in any case not all of my deçue Bracelet is really very beautiful</v>
      </c>
    </row>
    <row r="757">
      <c r="A757" s="1">
        <v>4.0</v>
      </c>
      <c r="B757" s="1" t="s">
        <v>755</v>
      </c>
      <c r="C757" t="str">
        <f>IFERROR(__xludf.DUMMYFUNCTION("GOOGLETRANSLATE(B757, ""fr"", ""en"")"),"Great for learning to write Bought for my son who learns to write. the pen glides well, even if the stand is not so nice compared to other pen more child I bought one for me")</f>
        <v>Great for learning to write Bought for my son who learns to write. the pen glides well, even if the stand is not so nice compared to other pen more child I bought one for me</v>
      </c>
    </row>
    <row r="758">
      <c r="A758" s="1">
        <v>4.0</v>
      </c>
      <c r="B758" s="1" t="s">
        <v>756</v>
      </c>
      <c r="C758" t="str">
        <f>IFERROR(__xludf.DUMMYFUNCTION("GOOGLETRANSLATE(B758, ""fr"", ""en"")"),"Nothing very pretty. My husband loves them.")</f>
        <v>Nothing very pretty. My husband loves them.</v>
      </c>
    </row>
    <row r="759">
      <c r="A759" s="1">
        <v>4.0</v>
      </c>
      <c r="B759" s="1" t="s">
        <v>757</v>
      </c>
      <c r="C759" t="str">
        <f>IFERROR(__xludf.DUMMYFUNCTION("GOOGLETRANSLATE(B759, ""fr"", ""en"")"),"Good but a bit brittle. The section is sufficient for my use. By cons when it stripped the sheath must go carefully, internal son are fine and break fast.")</f>
        <v>Good but a bit brittle. The section is sufficient for my use. By cons when it stripped the sheath must go carefully, internal son are fine and break fast.</v>
      </c>
    </row>
    <row r="760">
      <c r="A760" s="1">
        <v>5.0</v>
      </c>
      <c r="B760" s="1" t="s">
        <v>758</v>
      </c>
      <c r="C760" t="str">
        <f>IFERROR(__xludf.DUMMYFUNCTION("GOOGLETRANSLATE(B760, ""fr"", ""en"")"),"quality product I am so please my ideal purchase for a gift I recommend it to all")</f>
        <v>quality product I am so please my ideal purchase for a gift I recommend it to all</v>
      </c>
    </row>
    <row r="761">
      <c r="A761" s="1">
        <v>5.0</v>
      </c>
      <c r="B761" s="1" t="s">
        <v>759</v>
      </c>
      <c r="C761" t="str">
        <f>IFERROR(__xludf.DUMMYFUNCTION("GOOGLETRANSLATE(B761, ""fr"", ""en"")"),"Well adjusted and balances! Nickel to replace old broken passers Garmin 735XT, and all days in good condition after several weeks of use! As it is a lot, we can change them again if needed.")</f>
        <v>Well adjusted and balances! Nickel to replace old broken passers Garmin 735XT, and all days in good condition after several weeks of use! As it is a lot, we can change them again if needed.</v>
      </c>
    </row>
    <row r="762">
      <c r="A762" s="1">
        <v>5.0</v>
      </c>
      <c r="B762" s="1" t="s">
        <v>760</v>
      </c>
      <c r="C762" t="str">
        <f>IFERROR(__xludf.DUMMYFUNCTION("GOOGLETRANSLATE(B762, ""fr"", ""en"")"),"Enchanted magnificent bracelet")</f>
        <v>Enchanted magnificent bracelet</v>
      </c>
    </row>
    <row r="763">
      <c r="A763" s="1">
        <v>5.0</v>
      </c>
      <c r="B763" s="1" t="s">
        <v>761</v>
      </c>
      <c r="C763" t="str">
        <f>IFERROR(__xludf.DUMMYFUNCTION("GOOGLETRANSLATE(B763, ""fr"", ""en"")"),"Hello Hello")</f>
        <v>Hello Hello</v>
      </c>
    </row>
    <row r="764">
      <c r="A764" s="1">
        <v>5.0</v>
      </c>
      <c r="B764" s="1" t="s">
        <v>762</v>
      </c>
      <c r="C764" t="str">
        <f>IFERROR(__xludf.DUMMYFUNCTION("GOOGLETRANSLATE(B764, ""fr"", ""en"")"),"Practice from 2 months! Exasperated by bottles that lasted an hour with teats 1 month, I chose from the 2nd month of my daughter for these teats speed 2. Perfect Flow and finally drinking adequate amounts without getting tired! I recommend and will probab"&amp;"ly order new!")</f>
        <v>Practice from 2 months! Exasperated by bottles that lasted an hour with teats 1 month, I chose from the 2nd month of my daughter for these teats speed 2. Perfect Flow and finally drinking adequate amounts without getting tired! I recommend and will probably order new!</v>
      </c>
    </row>
    <row r="765">
      <c r="A765" s="1">
        <v>5.0</v>
      </c>
      <c r="B765" s="1" t="s">
        <v>763</v>
      </c>
      <c r="C765" t="str">
        <f>IFERROR(__xludf.DUMMYFUNCTION("GOOGLETRANSLATE(B765, ""fr"", ""en"")"),"Top Style, quality, comfort = the top")</f>
        <v>Top Style, quality, comfort = the top</v>
      </c>
    </row>
    <row r="766">
      <c r="A766" s="1">
        <v>5.0</v>
      </c>
      <c r="B766" s="1" t="s">
        <v>764</v>
      </c>
      <c r="C766" t="str">
        <f>IFERROR(__xludf.DUMMYFUNCTION("GOOGLETRANSLATE(B766, ""fr"", ""en"")"),"Very Fine Meets pictures. Best for the price")</f>
        <v>Very Fine Meets pictures. Best for the price</v>
      </c>
    </row>
    <row r="767">
      <c r="A767" s="1">
        <v>5.0</v>
      </c>
      <c r="B767" s="1" t="s">
        <v>765</v>
      </c>
      <c r="C767" t="str">
        <f>IFERROR(__xludf.DUMMYFUNCTION("GOOGLETRANSLATE(B767, ""fr"", ""en"")"),"Nickel Good product")</f>
        <v>Nickel Good product</v>
      </c>
    </row>
    <row r="768">
      <c r="A768" s="1">
        <v>5.0</v>
      </c>
      <c r="B768" s="1" t="s">
        <v>766</v>
      </c>
      <c r="C768" t="str">
        <f>IFERROR(__xludf.DUMMYFUNCTION("GOOGLETRANSLATE(B768, ""fr"", ""en"")"),"love I love them, they are really on top so stylish and timeless, it goes with all jeans, shorts, skirt with anything, delivery was fast, the price is very interesting, I just shoe size 38 and saw the comments I gained 37 and it's just perfect, take one s"&amp;"ize smaller if not beautiful")</f>
        <v>love I love them, they are really on top so stylish and timeless, it goes with all jeans, shorts, skirt with anything, delivery was fast, the price is very interesting, I just shoe size 38 and saw the comments I gained 37 and it's just perfect, take one size smaller if not beautiful</v>
      </c>
    </row>
    <row r="769">
      <c r="A769" s="1">
        <v>5.0</v>
      </c>
      <c r="B769" s="1" t="s">
        <v>767</v>
      </c>
      <c r="C769" t="str">
        <f>IFERROR(__xludf.DUMMYFUNCTION("GOOGLETRANSLATE(B769, ""fr"", ""en"")"),"Practice I know, it is not very green. But when it comes to remove dust, either on your floors using a suitable brush or furniture by hand, it is convenient. No washing strain of the wipe, for a broom, and the good cloth very sweet and grip, for manual us"&amp;"e. Then just throw the towel and take another next time (of course, you also say that it is expensive. But everyone is free to do as he wants). Here, 120 wipes; allowing priori evil has great prospects cleaning.")</f>
        <v>Practice I know, it is not very green. But when it comes to remove dust, either on your floors using a suitable brush or furniture by hand, it is convenient. No washing strain of the wipe, for a broom, and the good cloth very sweet and grip, for manual use. Then just throw the towel and take another next time (of course, you also say that it is expensive. But everyone is free to do as he wants). Here, 120 wipes; allowing priori evil has great prospects cleaning.</v>
      </c>
    </row>
    <row r="770">
      <c r="A770" s="1">
        <v>5.0</v>
      </c>
      <c r="B770" s="1" t="s">
        <v>768</v>
      </c>
      <c r="C770" t="str">
        <f>IFERROR(__xludf.DUMMYFUNCTION("GOOGLETRANSLATE(B770, ""fr"", ""en"")"),"A Christmas book I love this enchanting Christmas book: the story of a small tree that is already dreaming of wearing a beautiful Christmas dress ... While all the great and beautiful fir desert around the small tree left alone with only friend for a very"&amp;" old tree that longs to no more adornment long time. A story full of poetry and sweetness, with simple, elegant illustrations, especially adapted to this beautiful Christmas story.")</f>
        <v>A Christmas book I love this enchanting Christmas book: the story of a small tree that is already dreaming of wearing a beautiful Christmas dress ... While all the great and beautiful fir desert around the small tree left alone with only friend for a very old tree that longs to no more adornment long time. A story full of poetry and sweetness, with simple, elegant illustrations, especially adapted to this beautiful Christmas story.</v>
      </c>
    </row>
    <row r="771">
      <c r="A771" s="1">
        <v>5.0</v>
      </c>
      <c r="B771" s="1" t="s">
        <v>769</v>
      </c>
      <c r="C771" t="str">
        <f>IFERROR(__xludf.DUMMYFUNCTION("GOOGLETRANSLATE(B771, ""fr"", ""en"")"),"Very good qualities flush")</f>
        <v>Very good qualities flush</v>
      </c>
    </row>
    <row r="772">
      <c r="A772" s="1">
        <v>5.0</v>
      </c>
      <c r="B772" s="1" t="s">
        <v>770</v>
      </c>
      <c r="C772" t="str">
        <f>IFERROR(__xludf.DUMMYFUNCTION("GOOGLETRANSLATE(B772, ""fr"", ""en"")"),"From its very good low, low, natural noise attenuator")</f>
        <v>From its very good low, low, natural noise attenuator</v>
      </c>
    </row>
    <row r="773">
      <c r="A773" s="1">
        <v>5.0</v>
      </c>
      <c r="B773" s="1" t="s">
        <v>771</v>
      </c>
      <c r="C773" t="str">
        <f>IFERROR(__xludf.DUMMYFUNCTION("GOOGLETRANSLATE(B773, ""fr"", ""en"")"),"At the top on top, super comfortable. perfect size.")</f>
        <v>At the top on top, super comfortable. perfect size.</v>
      </c>
    </row>
    <row r="774">
      <c r="A774" s="1">
        <v>5.0</v>
      </c>
      <c r="B774" s="1" t="s">
        <v>772</v>
      </c>
      <c r="C774" t="str">
        <f>IFERROR(__xludf.DUMMYFUNCTION("GOOGLETRANSLATE(B774, ""fr"", ""en"")"),"Perfect This compression fit is perfect for compression enthusiasts, bodybuilding, it will keep your muscles during your sessions grows large cast. I recommend for the quality and size ... never disappointed!")</f>
        <v>Perfect This compression fit is perfect for compression enthusiasts, bodybuilding, it will keep your muscles during your sessions grows large cast. I recommend for the quality and size ... never disappointed!</v>
      </c>
    </row>
    <row r="775">
      <c r="A775" s="1">
        <v>2.0</v>
      </c>
      <c r="B775" s="1" t="s">
        <v>773</v>
      </c>
      <c r="C775" t="str">
        <f>IFERROR(__xludf.DUMMYFUNCTION("GOOGLETRANSLATE(B775, ""fr"", ""en"")"),"Unreadable and unusable functions Bluetooth This watch is of interest only for its look, very serious and quality. Otherwise it is useless and is also sold by more Fossil, which makes a low price to liquidate its inventory. The Bluetooth connection is goo"&amp;"d but the information it provides on demand by pressing the 3 buttons of the watch are delivered by bizarre and incomprehensible needle positions. Moreover they are irrelevant information (start the music on the mobile, whether his goal is not reached man"&amp;"y ...). I do not even understand how to know if I received a text message. The vibration on his wrist supposed to warn of the arrival of a text message is imperceptible. it therefore useless. The crown ""tachometer"" contains absolutely illegible numbers "&amp;"so they microscopic, as the dial ""number of steps"". Finally I use this shows that typically: to know the time!")</f>
        <v>Unreadable and unusable functions Bluetooth This watch is of interest only for its look, very serious and quality. Otherwise it is useless and is also sold by more Fossil, which makes a low price to liquidate its inventory. The Bluetooth connection is good but the information it provides on demand by pressing the 3 buttons of the watch are delivered by bizarre and incomprehensible needle positions. Moreover they are irrelevant information (start the music on the mobile, whether his goal is not reached many ...). I do not even understand how to know if I received a text message. The vibration on his wrist supposed to warn of the arrival of a text message is imperceptible. it therefore useless. The crown "tachometer" contains absolutely illegible numbers so they microscopic, as the dial "number of steps". Finally I use this shows that typically: to know the time!</v>
      </c>
    </row>
    <row r="776">
      <c r="A776" s="1">
        <v>1.0</v>
      </c>
      <c r="B776" s="1" t="s">
        <v>774</v>
      </c>
      <c r="C776" t="str">
        <f>IFERROR(__xludf.DUMMYFUNCTION("GOOGLETRANSLATE(B776, ""fr"", ""en"")"),"Buckle too fragile receipt very pleased with the model and color but by detaching the two parts the metal buckle that is detached returned item because too fragile loop and fear of losing my watch with ...")</f>
        <v>Buckle too fragile receipt very pleased with the model and color but by detaching the two parts the metal buckle that is detached returned item because too fragile loop and fear of losing my watch with ...</v>
      </c>
    </row>
    <row r="777">
      <c r="A777" s="1">
        <v>1.0</v>
      </c>
      <c r="B777" s="1" t="s">
        <v>775</v>
      </c>
      <c r="C777" t="str">
        <f>IFERROR(__xludf.DUMMYFUNCTION("GOOGLETRANSLATE(B777, ""fr"", ""en"")"),"Disappointed poor quality t-shirt black t-shirt turned into a single wash and washed himself. Not at all satisfied very disappointed")</f>
        <v>Disappointed poor quality t-shirt black t-shirt turned into a single wash and washed himself. Not at all satisfied very disappointed</v>
      </c>
    </row>
    <row r="778">
      <c r="A778" s="1">
        <v>3.0</v>
      </c>
      <c r="B778" s="1" t="s">
        <v>776</v>
      </c>
      <c r="C778" t="str">
        <f>IFERROR(__xludf.DUMMYFUNCTION("GOOGLETRANSLATE(B778, ""fr"", ""en"")"),"A disappointed hooks to tie the laces is broken. the shoemaker does not want to fix it. with pair of shoes price unfortunately. What could you do Please answer me quickly Sincerely Thérèse Lemaire")</f>
        <v>A disappointed hooks to tie the laces is broken. the shoemaker does not want to fix it. with pair of shoes price unfortunately. What could you do Please answer me quickly Sincerely Thérèse Lemaire</v>
      </c>
    </row>
    <row r="779">
      <c r="A779" s="1">
        <v>3.0</v>
      </c>
      <c r="B779" s="1" t="s">
        <v>777</v>
      </c>
      <c r="C779" t="str">
        <f>IFERROR(__xludf.DUMMYFUNCTION("GOOGLETRANSLATE(B779, ""fr"", ""en"")"),"So-so ! Although only if there hangs a very light weight. Otherwise peeling off the wall. Not great at all.")</f>
        <v>So-so ! Although only if there hangs a very light weight. Otherwise peeling off the wall. Not great at all.</v>
      </c>
    </row>
    <row r="780">
      <c r="A780" s="1">
        <v>4.0</v>
      </c>
      <c r="B780" s="1" t="s">
        <v>778</v>
      </c>
      <c r="C780" t="str">
        <f>IFERROR(__xludf.DUMMYFUNCTION("GOOGLETRANSLATE(B780, ""fr"", ""en"")"),"A little time respected just")</f>
        <v>A little time respected just</v>
      </c>
    </row>
    <row r="781">
      <c r="A781" s="1">
        <v>4.0</v>
      </c>
      <c r="B781" s="1" t="s">
        <v>779</v>
      </c>
      <c r="C781" t="str">
        <f>IFERROR(__xludf.DUMMYFUNCTION("GOOGLETRANSLATE(B781, ""fr"", ""en"")"),"Great purchase quality and comfort of the Stan Smith is incomparable. They carve great, there's really nothing wrong!")</f>
        <v>Great purchase quality and comfort of the Stan Smith is incomparable. They carve great, there's really nothing wrong!</v>
      </c>
    </row>
    <row r="782">
      <c r="A782" s="1">
        <v>4.0</v>
      </c>
      <c r="B782" s="1" t="s">
        <v>780</v>
      </c>
      <c r="C782" t="str">
        <f>IFERROR(__xludf.DUMMYFUNCTION("GOOGLETRANSLATE(B782, ""fr"", ""en"")"),"Nothing good to say")</f>
        <v>Nothing good to say</v>
      </c>
    </row>
    <row r="783">
      <c r="A783" s="1">
        <v>4.0</v>
      </c>
      <c r="B783" s="1" t="s">
        <v>781</v>
      </c>
      <c r="C783" t="str">
        <f>IFERROR(__xludf.DUMMYFUNCTION("GOOGLETRANSLATE(B783, ""fr"", ""en"")"),"Good quality good quality product very comfortable in a little offset color consistent with the picture")</f>
        <v>Good quality good quality product very comfortable in a little offset color consistent with the picture</v>
      </c>
    </row>
    <row r="784">
      <c r="A784" s="1">
        <v>5.0</v>
      </c>
      <c r="B784" s="1" t="s">
        <v>782</v>
      </c>
      <c r="C784" t="str">
        <f>IFERROR(__xludf.DUMMYFUNCTION("GOOGLETRANSLATE(B784, ""fr"", ""en"")"),"I find there high quality professional quality with a film that focuses on all substrates (including plastic). The reel system with the strip that cut is very well thought out. Very pleased with this product with an attractive price when compared to the t"&amp;"raditional roll of 30 meters")</f>
        <v>I find there high quality professional quality with a film that focuses on all substrates (including plastic). The reel system with the strip that cut is very well thought out. Very pleased with this product with an attractive price when compared to the traditional roll of 30 meters</v>
      </c>
    </row>
    <row r="785">
      <c r="A785" s="1">
        <v>5.0</v>
      </c>
      <c r="B785" s="1" t="s">
        <v>783</v>
      </c>
      <c r="C785" t="str">
        <f>IFERROR(__xludf.DUMMYFUNCTION("GOOGLETRANSLATE(B785, ""fr"", ""en"")"),"Very practical good desk lamp, possibility of having a white or yellow light. It's light and not too big, very practical!")</f>
        <v>Very practical good desk lamp, possibility of having a white or yellow light. It's light and not too big, very practical!</v>
      </c>
    </row>
    <row r="786">
      <c r="A786" s="1">
        <v>5.0</v>
      </c>
      <c r="B786" s="1" t="s">
        <v>784</v>
      </c>
      <c r="C786" t="str">
        <f>IFERROR(__xludf.DUMMYFUNCTION("GOOGLETRANSLATE(B786, ""fr"", ""en"")"),"Safety Shoe Lightweight to wear very nice I recommend")</f>
        <v>Safety Shoe Lightweight to wear very nice I recommend</v>
      </c>
    </row>
    <row r="787">
      <c r="A787" s="1">
        <v>5.0</v>
      </c>
      <c r="B787" s="1" t="s">
        <v>785</v>
      </c>
      <c r="C787" t="str">
        <f>IFERROR(__xludf.DUMMYFUNCTION("GOOGLETRANSLATE(B787, ""fr"", ""en"")"),"Satisfied Boots of very good quality, soft leather and good size (43 from 43.5) knowing CATERPILLARD always size a little big. I will add still further insole as usual. Excellent value for money, to see on the duration!")</f>
        <v>Satisfied Boots of very good quality, soft leather and good size (43 from 43.5) knowing CATERPILLARD always size a little big. I will add still further insole as usual. Excellent value for money, to see on the duration!</v>
      </c>
    </row>
    <row r="788">
      <c r="A788" s="1">
        <v>5.0</v>
      </c>
      <c r="B788" s="1" t="s">
        <v>786</v>
      </c>
      <c r="C788" t="str">
        <f>IFERROR(__xludf.DUMMYFUNCTION("GOOGLETRANSLATE(B788, ""fr"", ""en"")"),"She gets off Comfortable and warm wishes")</f>
        <v>She gets off Comfortable and warm wishes</v>
      </c>
    </row>
    <row r="789">
      <c r="A789" s="1">
        <v>5.0</v>
      </c>
      <c r="B789" s="1" t="s">
        <v>787</v>
      </c>
      <c r="C789" t="str">
        <f>IFERROR(__xludf.DUMMYFUNCTION("GOOGLETRANSLATE(B789, ""fr"", ""en"")"),"Very good product great product")</f>
        <v>Very good product great product</v>
      </c>
    </row>
    <row r="790">
      <c r="A790" s="1">
        <v>5.0</v>
      </c>
      <c r="B790" s="1" t="s">
        <v>788</v>
      </c>
      <c r="C790" t="str">
        <f>IFERROR(__xludf.DUMMYFUNCTION("GOOGLETRANSLATE(B790, ""fr"", ""en"")"),"Recommend it I ordered two of these sweaters (one white and one green irish) in size S. I measure 1m60, so they are a little oversized, but not huge either! The material is very soft and very nice :) The first pull arrived ahead of schedule, and the secon"&amp;"d is expected soon.")</f>
        <v>Recommend it I ordered two of these sweaters (one white and one green irish) in size S. I measure 1m60, so they are a little oversized, but not huge either! The material is very soft and very nice :) The first pull arrived ahead of schedule, and the second is expected soon.</v>
      </c>
    </row>
    <row r="791">
      <c r="A791" s="1">
        <v>5.0</v>
      </c>
      <c r="B791" s="1" t="s">
        <v>789</v>
      </c>
      <c r="C791" t="str">
        <f>IFERROR(__xludf.DUMMYFUNCTION("GOOGLETRANSLATE(B791, ""fr"", ""en"")"),"super fast delivery - Top Seller - We do this more is a must have Tiger Balm is great for practicing regular exercise and wants to reduce the effects this is the product to have to prepare before and after his activity. Highly recommend Thanks")</f>
        <v>super fast delivery - Top Seller - We do this more is a must have Tiger Balm is great for practicing regular exercise and wants to reduce the effects this is the product to have to prepare before and after his activity. Highly recommend Thanks</v>
      </c>
    </row>
    <row r="792">
      <c r="A792" s="1">
        <v>5.0</v>
      </c>
      <c r="B792" s="1" t="s">
        <v>790</v>
      </c>
      <c r="C792" t="str">
        <f>IFERROR(__xludf.DUMMYFUNCTION("GOOGLETRANSLATE(B792, ""fr"", ""en"")"),"Satisfied Basketball are super comfortable. I recomsnde all people to buy are supe")</f>
        <v>Satisfied Basketball are super comfortable. I recomsnde all people to buy are supe</v>
      </c>
    </row>
    <row r="793">
      <c r="A793" s="1">
        <v>5.0</v>
      </c>
      <c r="B793" s="1" t="s">
        <v>791</v>
      </c>
      <c r="C793" t="str">
        <f>IFERROR(__xludf.DUMMYFUNCTION("GOOGLETRANSLATE(B793, ""fr"", ""en"")"),"Good value short and small model")</f>
        <v>Good value short and small model</v>
      </c>
    </row>
    <row r="794">
      <c r="A794" s="1">
        <v>5.0</v>
      </c>
      <c r="B794" s="1" t="s">
        <v>792</v>
      </c>
      <c r="C794" t="str">
        <f>IFERROR(__xludf.DUMMYFUNCTION("GOOGLETRANSLATE(B794, ""fr"", ""en"")"),"Bluetooth headset for my trips Received quickly with premium delivery. I was looking for headphones to my travels, this one insulates noise that's what I was looking for more of the design that conforms to the photo. What is also appreciable is that the B"&amp;"luetooth wireless reading can last all day. Helmet makes the job. Satisfied with the product")</f>
        <v>Bluetooth headset for my trips Received quickly with premium delivery. I was looking for headphones to my travels, this one insulates noise that's what I was looking for more of the design that conforms to the photo. What is also appreciable is that the Bluetooth wireless reading can last all day. Helmet makes the job. Satisfied with the product</v>
      </c>
    </row>
    <row r="795">
      <c r="A795" s="1">
        <v>5.0</v>
      </c>
      <c r="B795" s="1" t="s">
        <v>793</v>
      </c>
      <c r="C795" t="str">
        <f>IFERROR(__xludf.DUMMYFUNCTION("GOOGLETRANSLATE(B795, ""fr"", ""en"")"),"High Quality Bluetooth Wireless Headset of very good quality and versatile for music or phone, radio. It is compact and the sound is very clair.Achat recommended.")</f>
        <v>High Quality Bluetooth Wireless Headset of very good quality and versatile for music or phone, radio. It is compact and the sound is very clair.Achat recommended.</v>
      </c>
    </row>
    <row r="796">
      <c r="A796" s="1">
        <v>5.0</v>
      </c>
      <c r="B796" s="1" t="s">
        <v>794</v>
      </c>
      <c r="C796" t="str">
        <f>IFERROR(__xludf.DUMMYFUNCTION("GOOGLETRANSLATE(B796, ""fr"", ""en"")"),"THAT ORDER IS EQUIVALENT TO MY NEEDS PERFECTLY FOR CLASSIFICATION OF INTENSIVE. HE IS PERFECT!")</f>
        <v>THAT ORDER IS EQUIVALENT TO MY NEEDS PERFECTLY FOR CLASSIFICATION OF INTENSIVE. HE IS PERFECT!</v>
      </c>
    </row>
    <row r="797">
      <c r="A797" s="1">
        <v>5.0</v>
      </c>
      <c r="B797" s="1" t="s">
        <v>795</v>
      </c>
      <c r="C797" t="str">
        <f>IFERROR(__xludf.DUMMYFUNCTION("GOOGLETRANSLATE(B797, ""fr"", ""en"")"),"leather bracelet product well conditioned and received quickly. of good quality")</f>
        <v>leather bracelet product well conditioned and received quickly. of good quality</v>
      </c>
    </row>
    <row r="798">
      <c r="A798" s="1">
        <v>5.0</v>
      </c>
      <c r="B798" s="1" t="s">
        <v>796</v>
      </c>
      <c r="C798" t="str">
        <f>IFERROR(__xludf.DUMMYFUNCTION("GOOGLETRANSLATE(B798, ""fr"", ""en"")"),"Size and value for money Perfect gift that my father loved, the perfect waist also very satisfied!")</f>
        <v>Size and value for money Perfect gift that my father loved, the perfect waist also very satisfied!</v>
      </c>
    </row>
    <row r="799">
      <c r="A799" s="1">
        <v>2.0</v>
      </c>
      <c r="B799" s="1" t="s">
        <v>797</v>
      </c>
      <c r="C799" t="str">
        <f>IFERROR(__xludf.DUMMYFUNCTION("GOOGLETRANSLATE(B799, ""fr"", ""en"")"),"A little expensive I bought another pair of pants of this kind and the quality is much better, more comfortable, better fit at the waist. For a similar price. So when can compare ....")</f>
        <v>A little expensive I bought another pair of pants of this kind and the quality is much better, more comfortable, better fit at the waist. For a similar price. So when can compare ....</v>
      </c>
    </row>
    <row r="800">
      <c r="A800" s="1">
        <v>1.0</v>
      </c>
      <c r="B800" s="1" t="s">
        <v>798</v>
      </c>
      <c r="C800" t="str">
        <f>IFERROR(__xludf.DUMMYFUNCTION("GOOGLETRANSLATE(B800, ""fr"", ""en"")"),"aesthetic accessory without Acupuncture points are placed haphazardly, not thick enough to be felt especially socks are not anti slip at all: rather annoying for yoga accessories")</f>
        <v>aesthetic accessory without Acupuncture points are placed haphazardly, not thick enough to be felt especially socks are not anti slip at all: rather annoying for yoga accessories</v>
      </c>
    </row>
    <row r="801">
      <c r="A801" s="1">
        <v>1.0</v>
      </c>
      <c r="B801" s="1" t="s">
        <v>799</v>
      </c>
      <c r="C801" t="str">
        <f>IFERROR(__xludf.DUMMYFUNCTION("GOOGLETRANSLATE(B801, ""fr"", ""en"")"),"Needless Do not maintained at all, and contrary to what the image shows, there is no cache nipple.")</f>
        <v>Needless Do not maintained at all, and contrary to what the image shows, there is no cache nipple.</v>
      </c>
    </row>
    <row r="802">
      <c r="A802" s="1">
        <v>3.0</v>
      </c>
      <c r="B802" s="1" t="s">
        <v>800</v>
      </c>
      <c r="C802" t="str">
        <f>IFERROR(__xludf.DUMMYFUNCTION("GOOGLETRANSLATE(B802, ""fr"", ""en"")"),"Ok I just got them so to do by the time against so there is no sock provided careful to take well to rate")</f>
        <v>Ok I just got them so to do by the time against so there is no sock provided careful to take well to rate</v>
      </c>
    </row>
    <row r="803">
      <c r="A803" s="1">
        <v>4.0</v>
      </c>
      <c r="B803" s="1" t="s">
        <v>801</v>
      </c>
      <c r="C803" t="str">
        <f>IFERROR(__xludf.DUMMYFUNCTION("GOOGLETRANSLATE(B803, ""fr"", ""en"")"),"Basketball happening everywhere. Shoe consistent with the description, despite it's 15 days that I was the door, they are a bit steep it changes my nike fabric, my good she maintains well the feet and are passed around.")</f>
        <v>Basketball happening everywhere. Shoe consistent with the description, despite it's 15 days that I was the door, they are a bit steep it changes my nike fabric, my good she maintains well the feet and are passed around.</v>
      </c>
    </row>
    <row r="804">
      <c r="A804" s="1">
        <v>4.0</v>
      </c>
      <c r="B804" s="1" t="s">
        <v>802</v>
      </c>
      <c r="C804" t="str">
        <f>IFERROR(__xludf.DUMMYFUNCTION("GOOGLETRANSLATE(B804, ""fr"", ""en"")"),"Micro fun micro is nice even if it lacks power. It was easy to pair with Bluetooth and the ""echo"" function makes its effect")</f>
        <v>Micro fun micro is nice even if it lacks power. It was easy to pair with Bluetooth and the "echo" function makes its effect</v>
      </c>
    </row>
    <row r="805">
      <c r="A805" s="1">
        <v>4.0</v>
      </c>
      <c r="B805" s="1" t="s">
        <v>803</v>
      </c>
      <c r="C805" t="str">
        <f>IFERROR(__xludf.DUMMYFUNCTION("GOOGLETRANSLATE(B805, ""fr"", ""en"")"),"Very bieb Very pretty consistent with the picture and arrive on time")</f>
        <v>Very bieb Very pretty consistent with the picture and arrive on time</v>
      </c>
    </row>
    <row r="806">
      <c r="A806" s="1">
        <v>4.0</v>
      </c>
      <c r="B806" s="1" t="s">
        <v>804</v>
      </c>
      <c r="C806" t="str">
        <f>IFERROR(__xludf.DUMMYFUNCTION("GOOGLETRANSLATE(B806, ""fr"", ""en"")"),"great lot Lot bought recently, control very quickly received, little fan model of the bottle brush, however, the bottles are excellent")</f>
        <v>great lot Lot bought recently, control very quickly received, little fan model of the bottle brush, however, the bottles are excellent</v>
      </c>
    </row>
    <row r="807">
      <c r="A807" s="1">
        <v>5.0</v>
      </c>
      <c r="B807" s="1" t="s">
        <v>805</v>
      </c>
      <c r="C807" t="str">
        <f>IFERROR(__xludf.DUMMYFUNCTION("GOOGLETRANSLATE(B807, ""fr"", ""en"")"),"JBL always good quality / price ratio, special mention to the speed of delivery! Helmet still on top with JBL for the mid-range, ultra fast delivery even without amazon prime 😉 go for it!")</f>
        <v>JBL always good quality / price ratio, special mention to the speed of delivery! Helmet still on top with JBL for the mid-range, ultra fast delivery even without amazon prime 😉 go for it!</v>
      </c>
    </row>
    <row r="808">
      <c r="A808" s="1">
        <v>5.0</v>
      </c>
      <c r="B808" s="1" t="s">
        <v>806</v>
      </c>
      <c r="C808" t="str">
        <f>IFERROR(__xludf.DUMMYFUNCTION("GOOGLETRANSLATE(B808, ""fr"", ""en"")"),"preparation of bib in less than 3 minutes! this device has saved me! especially at night, fast and the water has a very good temperature! I never had no trouble with. small problem but not really bothered me was the noise! but we can not ask anything eith"&amp;"er!")</f>
        <v>preparation of bib in less than 3 minutes! this device has saved me! especially at night, fast and the water has a very good temperature! I never had no trouble with. small problem but not really bothered me was the noise! but we can not ask anything either!</v>
      </c>
    </row>
    <row r="809">
      <c r="A809" s="1">
        <v>5.0</v>
      </c>
      <c r="B809" s="1" t="s">
        <v>807</v>
      </c>
      <c r="C809" t="str">
        <f>IFERROR(__xludf.DUMMYFUNCTION("GOOGLETRANSLATE(B809, ""fr"", ""en"")"),"very well very well")</f>
        <v>very well very well</v>
      </c>
    </row>
    <row r="810">
      <c r="A810" s="1">
        <v>5.0</v>
      </c>
      <c r="B810" s="1" t="s">
        <v>808</v>
      </c>
      <c r="C810" t="str">
        <f>IFERROR(__xludf.DUMMYFUNCTION("GOOGLETRANSLATE(B810, ""fr"", ""en"")"),"Already Perfect Order this article No worries Good product")</f>
        <v>Already Perfect Order this article No worries Good product</v>
      </c>
    </row>
    <row r="811">
      <c r="A811" s="1">
        <v>5.0</v>
      </c>
      <c r="B811" s="1" t="s">
        <v>369</v>
      </c>
      <c r="C811" t="str">
        <f>IFERROR(__xludf.DUMMYFUNCTION("GOOGLETRANSLATE(B811, ""fr"", ""en"")"),"Good product Good product")</f>
        <v>Good product Good product</v>
      </c>
    </row>
    <row r="812">
      <c r="A812" s="1">
        <v>5.0</v>
      </c>
      <c r="B812" s="1" t="s">
        <v>809</v>
      </c>
      <c r="C812" t="str">
        <f>IFERROR(__xludf.DUMMYFUNCTION("GOOGLETRANSLATE(B812, ""fr"", ""en"")"),"I am very happy thank you all as it should, thank you")</f>
        <v>I am very happy thank you all as it should, thank you</v>
      </c>
    </row>
    <row r="813">
      <c r="A813" s="1">
        <v>5.0</v>
      </c>
      <c r="B813" s="1" t="s">
        <v>810</v>
      </c>
      <c r="C813" t="str">
        <f>IFERROR(__xludf.DUMMYFUNCTION("GOOGLETRANSLATE(B813, ""fr"", ""en"")"),"Perfect They are perfect for me. The size is what I ordered and there is no default. No complaints about the quality of the product.")</f>
        <v>Perfect They are perfect for me. The size is what I ordered and there is no default. No complaints about the quality of the product.</v>
      </c>
    </row>
    <row r="814">
      <c r="A814" s="1">
        <v>5.0</v>
      </c>
      <c r="B814" s="1" t="s">
        <v>811</v>
      </c>
      <c r="C814" t="str">
        <f>IFERROR(__xludf.DUMMYFUNCTION("GOOGLETRANSLATE(B814, ""fr"", ""en"")"),"Daily use satisfied. Meets my expectations")</f>
        <v>Daily use satisfied. Meets my expectations</v>
      </c>
    </row>
    <row r="815">
      <c r="A815" s="1">
        <v>5.0</v>
      </c>
      <c r="B815" s="1" t="s">
        <v>812</v>
      </c>
      <c r="C815" t="str">
        <f>IFERROR(__xludf.DUMMYFUNCTION("GOOGLETRANSLATE(B815, ""fr"", ""en"")"),"Bag holster Kattee Superb bag with multiple pockets. Product of very high quality. Leather beautiful, strong closures. By cons it is not made for smaller people because 1m65 quite large. Very satisfied.")</f>
        <v>Bag holster Kattee Superb bag with multiple pockets. Product of very high quality. Leather beautiful, strong closures. By cons it is not made for smaller people because 1m65 quite large. Very satisfied.</v>
      </c>
    </row>
    <row r="816">
      <c r="A816" s="1">
        <v>5.0</v>
      </c>
      <c r="B816" s="1" t="s">
        <v>813</v>
      </c>
      <c r="C816" t="str">
        <f>IFERROR(__xludf.DUMMYFUNCTION("GOOGLETRANSLATE(B816, ""fr"", ""en"")"),"Great product for dishwashers! Leaves no trace on dishes and do not assaulted.")</f>
        <v>Great product for dishwashers! Leaves no trace on dishes and do not assaulted.</v>
      </c>
    </row>
    <row r="817">
      <c r="A817" s="1">
        <v>5.0</v>
      </c>
      <c r="B817" s="1" t="s">
        <v>814</v>
      </c>
      <c r="C817" t="str">
        <f>IFERROR(__xludf.DUMMYFUNCTION("GOOGLETRANSLATE(B817, ""fr"", ""en"")"),"bag satchel surprising beauty and practicality, perfect finishes, leather patina that goes well, the whole is relatively light compared to other approaching the price.")</f>
        <v>bag satchel surprising beauty and practicality, perfect finishes, leather patina that goes well, the whole is relatively light compared to other approaching the price.</v>
      </c>
    </row>
    <row r="818">
      <c r="A818" s="1">
        <v>5.0</v>
      </c>
      <c r="B818" s="1" t="s">
        <v>815</v>
      </c>
      <c r="C818" t="str">
        <f>IFERROR(__xludf.DUMMYFUNCTION("GOOGLETRANSLATE(B818, ""fr"", ""en"")"),"Silver necklace J.Rosée heart necklace Silver J.Rosée received quickly. perfect packing in a small box. A small bag for storage was provided in it. The necklace is beautiful. The chain is thin and strong. I'm so glad of my purchase.")</f>
        <v>Silver necklace J.Rosée heart necklace Silver J.Rosée received quickly. perfect packing in a small box. A small bag for storage was provided in it. The necklace is beautiful. The chain is thin and strong. I'm so glad of my purchase.</v>
      </c>
    </row>
    <row r="819">
      <c r="A819" s="1">
        <v>5.0</v>
      </c>
      <c r="B819" s="1" t="s">
        <v>816</v>
      </c>
      <c r="C819" t="str">
        <f>IFERROR(__xludf.DUMMYFUNCTION("GOOGLETRANSLATE(B819, ""fr"", ""en"")"),"Good product. Very good product the only downside leaflet in English.")</f>
        <v>Good product. Very good product the only downside leaflet in English.</v>
      </c>
    </row>
    <row r="820">
      <c r="A820" s="1">
        <v>5.0</v>
      </c>
      <c r="B820" s="1" t="s">
        <v>817</v>
      </c>
      <c r="C820" t="str">
        <f>IFERROR(__xludf.DUMMYFUNCTION("GOOGLETRANSLATE(B820, ""fr"", ""en"")"),"Beautiful Bensimon. The classics ! Always so effective!")</f>
        <v>Beautiful Bensimon. The classics ! Always so effective!</v>
      </c>
    </row>
    <row r="821">
      <c r="A821" s="1">
        <v>5.0</v>
      </c>
      <c r="B821" s="1" t="s">
        <v>818</v>
      </c>
      <c r="C821" t="str">
        <f>IFERROR(__xludf.DUMMYFUNCTION("GOOGLETRANSLATE(B821, ""fr"", ""en"")"),"Although Bottle appreciated by baby, who was trying to hold his own glass baby bottle of the same brand. With it, no risk of breakage if dropped on the floor, and the handles provide good input. My 7 month old half understood how to use it, but do not yet"&amp;" know the lift high enough to drink when little filled. I recommend")</f>
        <v>Although Bottle appreciated by baby, who was trying to hold his own glass baby bottle of the same brand. With it, no risk of breakage if dropped on the floor, and the handles provide good input. My 7 month old half understood how to use it, but do not yet know the lift high enough to drink when little filled. I recommend</v>
      </c>
    </row>
    <row r="822">
      <c r="A822" s="1">
        <v>2.0</v>
      </c>
      <c r="B822" s="1" t="s">
        <v>819</v>
      </c>
      <c r="C822" t="str">
        <f>IFERROR(__xludf.DUMMYFUNCTION("GOOGLETRANSLATE(B822, ""fr"", ""en"")"),"Deçue I loved the concept of this bottle warmer that heats quickly and correctly. I still encounter two problems: this product is heavy and cumbersome, and mine is leaking every time ... yet I'm careful: I quite firm, lets up ... but my diaper bag and the"&amp;" affairs of my baby always end up soaked. I have ceased to use.")</f>
        <v>Deçue I loved the concept of this bottle warmer that heats quickly and correctly. I still encounter two problems: this product is heavy and cumbersome, and mine is leaking every time ... yet I'm careful: I quite firm, lets up ... but my diaper bag and the affairs of my baby always end up soaked. I have ceased to use.</v>
      </c>
    </row>
    <row r="823">
      <c r="A823" s="1">
        <v>1.0</v>
      </c>
      <c r="B823" s="1" t="s">
        <v>820</v>
      </c>
      <c r="C823" t="str">
        <f>IFERROR(__xludf.DUMMYFUNCTION("GOOGLETRANSLATE(B823, ""fr"", ""en"")"),"No transparency about the levels at reception inks, life relatively short cartridges ... I think HP should be more transparent with its customers. Indeed, it is not possible to check the level of ink cartridges and receipt of these as they really do not l"&amp;"ast long it really feel to be foist remanufactured cartridges ... I bought a rechargeable printer at least there, I would see the exact amounts of ink inserted in the machine and the life of bottles!")</f>
        <v>No transparency about the levels at reception inks, life relatively short cartridges ... I think HP should be more transparent with its customers. Indeed, it is not possible to check the level of ink cartridges and receipt of these as they really do not last long it really feel to be foist remanufactured cartridges ... I bought a rechargeable printer at least there, I would see the exact amounts of ink inserted in the machine and the life of bottles!</v>
      </c>
    </row>
    <row r="824">
      <c r="A824" s="1">
        <v>3.0</v>
      </c>
      <c r="B824" s="1" t="s">
        <v>821</v>
      </c>
      <c r="C824" t="str">
        <f>IFERROR(__xludf.DUMMYFUNCTION("GOOGLETRANSLATE(B824, ""fr"", ""en"")"),"Bad cartridges are cheaper than in stores, but given the life, I understand ... because the cartridges are empty very quickly, so they are not full, it is not possible, because I not print books, so I'm rather disappointed")</f>
        <v>Bad cartridges are cheaper than in stores, but given the life, I understand ... because the cartridges are empty very quickly, so they are not full, it is not possible, because I not print books, so I'm rather disappointed</v>
      </c>
    </row>
    <row r="825">
      <c r="A825" s="1">
        <v>3.0</v>
      </c>
      <c r="B825" s="1" t="s">
        <v>822</v>
      </c>
      <c r="C825" t="str">
        <f>IFERROR(__xludf.DUMMYFUNCTION("GOOGLETRANSLATE(B825, ""fr"", ""en"")"),"ineffective product mediocre")</f>
        <v>ineffective product mediocre</v>
      </c>
    </row>
    <row r="826">
      <c r="A826" s="1">
        <v>4.0</v>
      </c>
      <c r="B826" s="1" t="s">
        <v>823</v>
      </c>
      <c r="C826" t="str">
        <f>IFERROR(__xludf.DUMMYFUNCTION("GOOGLETRANSLATE(B826, ""fr"", ""en"")"),"Laundry Convenient for his laundry")</f>
        <v>Laundry Convenient for his laundry</v>
      </c>
    </row>
    <row r="827">
      <c r="A827" s="1">
        <v>4.0</v>
      </c>
      <c r="B827" s="1" t="s">
        <v>824</v>
      </c>
      <c r="C827" t="str">
        <f>IFERROR(__xludf.DUMMYFUNCTION("GOOGLETRANSLATE(B827, ""fr"", ""en"")"),"Snow boots I'm happy in general. Good product")</f>
        <v>Snow boots I'm happy in general. Good product</v>
      </c>
    </row>
    <row r="828">
      <c r="A828" s="1">
        <v>4.0</v>
      </c>
      <c r="B828" s="1" t="s">
        <v>825</v>
      </c>
      <c r="C828" t="str">
        <f>IFERROR(__xludf.DUMMYFUNCTION("GOOGLETRANSLATE(B828, ""fr"", ""en"")"),"A nice lot of good material The bag is nice, colorful and with a Bic not too flashy logo: can be reused easily. True pastels marking, glue paillette and magic felts + coloring. The set is an excellent price / quality ratio.")</f>
        <v>A nice lot of good material The bag is nice, colorful and with a Bic not too flashy logo: can be reused easily. True pastels marking, glue paillette and magic felts + coloring. The set is an excellent price / quality ratio.</v>
      </c>
    </row>
    <row r="829">
      <c r="A829" s="1">
        <v>4.0</v>
      </c>
      <c r="B829" s="1" t="s">
        <v>826</v>
      </c>
      <c r="C829" t="str">
        <f>IFERROR(__xludf.DUMMYFUNCTION("GOOGLETRANSLATE(B829, ""fr"", ""en"")"),"Very Sanytol n value when it buys less than € 8.")</f>
        <v>Very Sanytol n value when it buys less than € 8.</v>
      </c>
    </row>
    <row r="830">
      <c r="A830" s="1">
        <v>5.0</v>
      </c>
      <c r="B830" s="1" t="s">
        <v>827</v>
      </c>
      <c r="C830" t="str">
        <f>IFERROR(__xludf.DUMMYFUNCTION("GOOGLETRANSLATE(B830, ""fr"", ""en"")"),"Very comfortable joints I very sensitive feet, these shoes are as comfortable as slippers. They dampen out all the irregularities of the ground. Great for walking.")</f>
        <v>Very comfortable joints I very sensitive feet, these shoes are as comfortable as slippers. They dampen out all the irregularities of the ground. Great for walking.</v>
      </c>
    </row>
    <row r="831">
      <c r="A831" s="1">
        <v>5.0</v>
      </c>
      <c r="B831" s="1" t="s">
        <v>828</v>
      </c>
      <c r="C831" t="str">
        <f>IFERROR(__xludf.DUMMYFUNCTION("GOOGLETRANSLATE(B831, ""fr"", ""en"")"),"Super Sale recommended by the teacher.")</f>
        <v>Super Sale recommended by the teacher.</v>
      </c>
    </row>
    <row r="832">
      <c r="A832" s="1">
        <v>5.0</v>
      </c>
      <c r="B832" s="1" t="s">
        <v>829</v>
      </c>
      <c r="C832" t="str">
        <f>IFERROR(__xludf.DUMMYFUNCTION("GOOGLETRANSLATE(B832, ""fr"", ""en"")"),"Pretty lovely curls ordered twice for me and mom; is allergic, I waited a little; Seeing that they did not hurt me, I recommended; neither too big nor too small, stone shines well; I do, however, only a few days in the week door for fear of the damage. I "&amp;"recommend ; reasonable price .")</f>
        <v>Pretty lovely curls ordered twice for me and mom; is allergic, I waited a little; Seeing that they did not hurt me, I recommended; neither too big nor too small, stone shines well; I do, however, only a few days in the week door for fear of the damage. I recommend ; reasonable price .</v>
      </c>
    </row>
    <row r="833">
      <c r="A833" s="1">
        <v>5.0</v>
      </c>
      <c r="B833" s="1" t="s">
        <v>830</v>
      </c>
      <c r="C833" t="str">
        <f>IFERROR(__xludf.DUMMYFUNCTION("GOOGLETRANSLATE(B833, ""fr"", ""en"")"),"Beautiful leather bag compact bag has multiple pockets and very pretty ... I recommend")</f>
        <v>Beautiful leather bag compact bag has multiple pockets and very pretty ... I recommend</v>
      </c>
    </row>
    <row r="834">
      <c r="A834" s="1">
        <v>5.0</v>
      </c>
      <c r="B834" s="1" t="s">
        <v>831</v>
      </c>
      <c r="C834" t="str">
        <f>IFERROR(__xludf.DUMMYFUNCTION("GOOGLETRANSLATE(B834, ""fr"", ""en"")"),"Great For me it is the best helmet that exists for the Xbox One no wire to set anything frankly is the top and the devil what")</f>
        <v>Great For me it is the best helmet that exists for the Xbox One no wire to set anything frankly is the top and the devil what</v>
      </c>
    </row>
    <row r="835">
      <c r="A835" s="1">
        <v>5.0</v>
      </c>
      <c r="B835" s="1" t="s">
        <v>832</v>
      </c>
      <c r="C835" t="str">
        <f>IFERROR(__xludf.DUMMYFUNCTION("GOOGLETRANSLATE(B835, ""fr"", ""en"")"),"Fabric very excellent and pleasant relaxation, but also sports")</f>
        <v>Fabric very excellent and pleasant relaxation, but also sports</v>
      </c>
    </row>
    <row r="836">
      <c r="A836" s="1">
        <v>5.0</v>
      </c>
      <c r="B836" s="1" t="s">
        <v>833</v>
      </c>
      <c r="C836" t="str">
        <f>IFERROR(__xludf.DUMMYFUNCTION("GOOGLETRANSLATE(B836, ""fr"", ""en"")"),"Nice Nice effect good quality for the price")</f>
        <v>Nice Nice effect good quality for the price</v>
      </c>
    </row>
    <row r="837">
      <c r="A837" s="1">
        <v>5.0</v>
      </c>
      <c r="B837" s="1" t="s">
        <v>834</v>
      </c>
      <c r="C837" t="str">
        <f>IFERROR(__xludf.DUMMYFUNCTION("GOOGLETRANSLATE(B837, ""fr"", ""en"")"),"nickel Product Excellent I recommend")</f>
        <v>nickel Product Excellent I recommend</v>
      </c>
    </row>
    <row r="838">
      <c r="A838" s="1">
        <v>5.0</v>
      </c>
      <c r="B838" s="1" t="s">
        <v>835</v>
      </c>
      <c r="C838" t="str">
        <f>IFERROR(__xludf.DUMMYFUNCTION("GOOGLETRANSLATE(B838, ""fr"", ""en"")"),"Robust long it takes just as perfect brush for baby bottles or dishes.")</f>
        <v>Robust long it takes just as perfect brush for baby bottles or dishes.</v>
      </c>
    </row>
    <row r="839">
      <c r="A839" s="1">
        <v>5.0</v>
      </c>
      <c r="B839" s="1" t="s">
        <v>836</v>
      </c>
      <c r="C839" t="str">
        <f>IFERROR(__xludf.DUMMYFUNCTION("GOOGLETRANSLATE(B839, ""fr"", ""en"")"),"Super Nikel")</f>
        <v>Super Nikel</v>
      </c>
    </row>
    <row r="840">
      <c r="A840" s="1">
        <v>5.0</v>
      </c>
      <c r="B840" s="1" t="s">
        <v>837</v>
      </c>
      <c r="C840" t="str">
        <f>IFERROR(__xludf.DUMMYFUNCTION("GOOGLETRANSLATE(B840, ""fr"", ""en"")"),"comfortable After 6 months of daily use, they have yet to sign of weakness, mild, comfortable, with a style for safety shoes")</f>
        <v>comfortable After 6 months of daily use, they have yet to sign of weakness, mild, comfortable, with a style for safety shoes</v>
      </c>
    </row>
    <row r="841">
      <c r="A841" s="1">
        <v>5.0</v>
      </c>
      <c r="B841" s="1" t="s">
        <v>838</v>
      </c>
      <c r="C841" t="str">
        <f>IFERROR(__xludf.DUMMYFUNCTION("GOOGLETRANSLATE(B841, ""fr"", ""en"")"),"candy")</f>
        <v>candy</v>
      </c>
    </row>
    <row r="842">
      <c r="A842" s="1">
        <v>5.0</v>
      </c>
      <c r="B842" s="1" t="s">
        <v>839</v>
      </c>
      <c r="C842" t="str">
        <f>IFERROR(__xludf.DUMMYFUNCTION("GOOGLETRANSLATE(B842, ""fr"", ""en"")"),"Very nice shopping very long delivery time, but what a beautiful shirt. same blue color to the picture, nice cut and good size. Bravo.")</f>
        <v>Very nice shopping very long delivery time, but what a beautiful shirt. same blue color to the picture, nice cut and good size. Bravo.</v>
      </c>
    </row>
    <row r="843">
      <c r="A843" s="1">
        <v>5.0</v>
      </c>
      <c r="B843" s="1" t="s">
        <v>840</v>
      </c>
      <c r="C843" t="str">
        <f>IFERROR(__xludf.DUMMYFUNCTION("GOOGLETRANSLATE(B843, ""fr"", ""en"")"),"Good quality and as described for Advent")</f>
        <v>Good quality and as described for Advent</v>
      </c>
    </row>
    <row r="844">
      <c r="A844" s="1">
        <v>5.0</v>
      </c>
      <c r="B844" s="1" t="s">
        <v>841</v>
      </c>
      <c r="C844" t="str">
        <f>IFERROR(__xludf.DUMMYFUNCTION("GOOGLETRANSLATE(B844, ""fr"", ""en"")"),"Perfect Home Studio Headphones")</f>
        <v>Perfect Home Studio Headphones</v>
      </c>
    </row>
    <row r="845">
      <c r="A845" s="1">
        <v>2.0</v>
      </c>
      <c r="B845" s="1" t="s">
        <v>842</v>
      </c>
      <c r="C845" t="str">
        <f>IFERROR(__xludf.DUMMYFUNCTION("GOOGLETRANSLATE(B845, ""fr"", ""en"")"),"Rather Women Bracelets are nice but I expected a little more masculine, I have offered to friends finally")</f>
        <v>Rather Women Bracelets are nice but I expected a little more masculine, I have offered to friends finally</v>
      </c>
    </row>
    <row r="846">
      <c r="A846" s="1">
        <v>1.0</v>
      </c>
      <c r="B846" s="1" t="s">
        <v>843</v>
      </c>
      <c r="C846" t="str">
        <f>IFERROR(__xludf.DUMMYFUNCTION("GOOGLETRANSLATE(B846, ""fr"", ""en"")"),"No longer works in 1 week time !!!!!!!! That makes it one week that I use and it works at all. I told myself that I'll get a good price to be quiet here is the result, and I can no longer return it because I planned to buy it before my birth and more that"&amp;" we have 30 days to return.")</f>
        <v>No longer works in 1 week time !!!!!!!! That makes it one week that I use and it works at all. I told myself that I'll get a good price to be quiet here is the result, and I can no longer return it because I planned to buy it before my birth and more that we have 30 days to return.</v>
      </c>
    </row>
    <row r="847">
      <c r="A847" s="1">
        <v>1.0</v>
      </c>
      <c r="B847" s="1" t="s">
        <v>844</v>
      </c>
      <c r="C847" t="str">
        <f>IFERROR(__xludf.DUMMYFUNCTION("GOOGLETRANSLATE(B847, ""fr"", ""en"")"),"NUL The product is quite expensive, so we could request a product of very good quality. However this is not the case. The product leaves traces (even by following the instruction manual). My Timberland are ruined. I highly recommend!")</f>
        <v>NUL The product is quite expensive, so we could request a product of very good quality. However this is not the case. The product leaves traces (even by following the instruction manual). My Timberland are ruined. I highly recommend!</v>
      </c>
    </row>
    <row r="848">
      <c r="A848" s="1">
        <v>3.0</v>
      </c>
      <c r="B848" s="1" t="s">
        <v>845</v>
      </c>
      <c r="C848" t="str">
        <f>IFERROR(__xludf.DUMMYFUNCTION("GOOGLETRANSLATE(B848, ""fr"", ""en"")"),"Good value good sweat, comfortable warm enough, he cuts well. I regret that the string is so big but that's a detail.")</f>
        <v>Good value good sweat, comfortable warm enough, he cuts well. I regret that the string is so big but that's a detail.</v>
      </c>
    </row>
    <row r="849">
      <c r="A849" s="1">
        <v>3.0</v>
      </c>
      <c r="B849" s="1" t="s">
        <v>846</v>
      </c>
      <c r="C849" t="str">
        <f>IFERROR(__xludf.DUMMYFUNCTION("GOOGLETRANSLATE(B849, ""fr"", ""en"")"),"Very good watch Pretty good functional watch nothing to say I really recommend except I did not like the crossed out price is not the bonet because new price with the reduction that the real price of the watch by all without reduction I I found it in two "&amp;"stores at this price after my purchase")</f>
        <v>Very good watch Pretty good functional watch nothing to say I really recommend except I did not like the crossed out price is not the bonet because new price with the reduction that the real price of the watch by all without reduction I I found it in two stores at this price after my purchase</v>
      </c>
    </row>
    <row r="850">
      <c r="A850" s="1">
        <v>4.0</v>
      </c>
      <c r="B850" s="1" t="s">
        <v>847</v>
      </c>
      <c r="C850" t="str">
        <f>IFERROR(__xludf.DUMMYFUNCTION("GOOGLETRANSLATE(B850, ""fr"", ""en"")"),"Although neither too thin nor too thick, perfect")</f>
        <v>Although neither too thin nor too thick, perfect</v>
      </c>
    </row>
    <row r="851">
      <c r="A851" s="1">
        <v>4.0</v>
      </c>
      <c r="B851" s="1" t="s">
        <v>848</v>
      </c>
      <c r="C851" t="str">
        <f>IFERROR(__xludf.DUMMYFUNCTION("GOOGLETRANSLATE(B851, ""fr"", ""en"")"),"Very good value for money ! I do not expect anything extraordinary with these wireless headphones, while Xiaomi is a very good brand in entertainment electronics. I must say I was surprised by the quality and accuracy of sound. Obviously, bass are not ver"&amp;"y present, as usual in this type of in-ear headphones. But here the quality and presence of the sound is soon forgotten the bass a little weak, we can also strengthen through numerous IOS or Android applications that modify the shape of the response curve"&amp;". The headphones fit comfortably in the ears (which I have yet large enough) even with the median size earbuds. The charging time seemed relatively fast for an autonomy that I find sufficient, especially since they are recharged as soon as the stores in t"&amp;"heir case: well done! Finally, the pairing on my iPhone 6+ became the first try, without any difficulty, in stereo. In short, for the price, I am very satisfied and I think I made a very good choice!")</f>
        <v>Very good value for money ! I do not expect anything extraordinary with these wireless headphones, while Xiaomi is a very good brand in entertainment electronics. I must say I was surprised by the quality and accuracy of sound. Obviously, bass are not very present, as usual in this type of in-ear headphones. But here the quality and presence of the sound is soon forgotten the bass a little weak, we can also strengthen through numerous IOS or Android applications that modify the shape of the response curve. The headphones fit comfortably in the ears (which I have yet large enough) even with the median size earbuds. The charging time seemed relatively fast for an autonomy that I find sufficient, especially since they are recharged as soon as the stores in their case: well done! Finally, the pairing on my iPhone 6+ became the first try, without any difficulty, in stereo. In short, for the price, I am very satisfied and I think I made a very good choice!</v>
      </c>
    </row>
    <row r="852">
      <c r="A852" s="1">
        <v>4.0</v>
      </c>
      <c r="B852" s="1" t="s">
        <v>849</v>
      </c>
      <c r="C852" t="str">
        <f>IFERROR(__xludf.DUMMYFUNCTION("GOOGLETRANSLATE(B852, ""fr"", ""en"")"),"Like many, the crisis struck Not as well-trimmed ones I had bought in the shop 10 years ago that but I think it just vien of changing things in general. The colors on top and the material and quality Lacoste is still")</f>
        <v>Like many, the crisis struck Not as well-trimmed ones I had bought in the shop 10 years ago that but I think it just vien of changing things in general. The colors on top and the material and quality Lacoste is still</v>
      </c>
    </row>
    <row r="853">
      <c r="A853" s="1">
        <v>4.0</v>
      </c>
      <c r="B853" s="1" t="s">
        <v>850</v>
      </c>
      <c r="C853" t="str">
        <f>IFERROR(__xludf.DUMMYFUNCTION("GOOGLETRANSLATE(B853, ""fr"", ""en"")"),"saguaro size 38 fit me perfectly, very comfortable, I plan to buy another pair for my daughter, be careful if you do not like feeling the ground reliefs go your way, because you almost feel naked foot .")</f>
        <v>saguaro size 38 fit me perfectly, very comfortable, I plan to buy another pair for my daughter, be careful if you do not like feeling the ground reliefs go your way, because you almost feel naked foot .</v>
      </c>
    </row>
    <row r="854">
      <c r="A854" s="1">
        <v>5.0</v>
      </c>
      <c r="B854" s="1" t="s">
        <v>851</v>
      </c>
      <c r="C854" t="str">
        <f>IFERROR(__xludf.DUMMYFUNCTION("GOOGLETRANSLATE(B854, ""fr"", ""en"")"),"Fast, efficient top .... Fast delivery, product conformity, I recommend Bin conditioning")</f>
        <v>Fast, efficient top .... Fast delivery, product conformity, I recommend Bin conditioning</v>
      </c>
    </row>
    <row r="855">
      <c r="A855" s="1">
        <v>5.0</v>
      </c>
      <c r="B855" s="1" t="s">
        <v>852</v>
      </c>
      <c r="C855" t="str">
        <f>IFERROR(__xludf.DUMMYFUNCTION("GOOGLETRANSLATE(B855, ""fr"", ""en"")"),"Hot Pants Pants chaud.agreable to wear. 2 waist pockets with a link that allows the suit to the waist.")</f>
        <v>Hot Pants Pants chaud.agreable to wear. 2 waist pockets with a link that allows the suit to the waist.</v>
      </c>
    </row>
    <row r="856">
      <c r="A856" s="1">
        <v>5.0</v>
      </c>
      <c r="B856" s="1" t="s">
        <v>853</v>
      </c>
      <c r="C856" t="str">
        <f>IFERROR(__xludf.DUMMYFUNCTION("GOOGLETRANSLATE(B856, ""fr"", ""en"")"),"Top makes his job very well done his job")</f>
        <v>Top makes his job very well done his job</v>
      </c>
    </row>
    <row r="857">
      <c r="A857" s="1">
        <v>5.0</v>
      </c>
      <c r="B857" s="1" t="s">
        <v>854</v>
      </c>
      <c r="C857" t="str">
        <f>IFERROR(__xludf.DUMMYFUNCTION("GOOGLETRANSLATE(B857, ""fr"", ""en"")"),"Uses comfortable to walk ...")</f>
        <v>Uses comfortable to walk ...</v>
      </c>
    </row>
    <row r="858">
      <c r="A858" s="1">
        <v>5.0</v>
      </c>
      <c r="B858" s="1" t="s">
        <v>855</v>
      </c>
      <c r="C858" t="str">
        <f>IFERROR(__xludf.DUMMYFUNCTION("GOOGLETRANSLATE(B858, ""fr"", ""en"")"),"Earpiece HAVIT Hello, I buy this product of high quality for 20 euro. I find that I pay for my purchase. For me it is very strong, he never had any problems. The microphone and sound quality are of high quality: you hear even outside. You have a small bag"&amp;" to store the headphones is good when traveling. It is easily adjustable and adjustable to all body types. : D")</f>
        <v>Earpiece HAVIT Hello, I buy this product of high quality for 20 euro. I find that I pay for my purchase. For me it is very strong, he never had any problems. The microphone and sound quality are of high quality: you hear even outside. You have a small bag to store the headphones is good when traveling. It is easily adjustable and adjustable to all body types. : D</v>
      </c>
    </row>
    <row r="859">
      <c r="A859" s="1">
        <v>5.0</v>
      </c>
      <c r="B859" s="1" t="s">
        <v>856</v>
      </c>
      <c r="C859" t="str">
        <f>IFERROR(__xludf.DUMMYFUNCTION("GOOGLETRANSLATE(B859, ""fr"", ""en"")"),"Very good look nice, well finished, practical, leather pretty j have offered to my father for Christmas he was delighted with the sudden I m am recommend one for me, the c is the size pockets are large so no need to wiggle the portfolio to make it fit, ec"&amp;"lair closures have the strong air and glide very well, which is appreciable when you have a grip not need to ask the package to hold the bag in one hand and opening it with the other , everything can be done with one hand, plus it is a large capacity bag "&amp;"and a very misplaced pocket .... for pickpockets")</f>
        <v>Very good look nice, well finished, practical, leather pretty j have offered to my father for Christmas he was delighted with the sudden I m am recommend one for me, the c is the size pockets are large so no need to wiggle the portfolio to make it fit, eclair closures have the strong air and glide very well, which is appreciable when you have a grip not need to ask the package to hold the bag in one hand and opening it with the other , everything can be done with one hand, plus it is a large capacity bag and a very misplaced pocket .... for pickpockets</v>
      </c>
    </row>
    <row r="860">
      <c r="A860" s="1">
        <v>5.0</v>
      </c>
      <c r="B860" s="1" t="s">
        <v>857</v>
      </c>
      <c r="C860" t="str">
        <f>IFERROR(__xludf.DUMMYFUNCTION("GOOGLETRANSLATE(B860, ""fr"", ""en"")"),"Super Cool")</f>
        <v>Super Cool</v>
      </c>
    </row>
    <row r="861">
      <c r="A861" s="1">
        <v>5.0</v>
      </c>
      <c r="B861" s="1" t="s">
        <v>858</v>
      </c>
      <c r="C861" t="str">
        <f>IFERROR(__xludf.DUMMYFUNCTION("GOOGLETRANSLATE(B861, ""fr"", ""en"")"),"Very good quality product great price")</f>
        <v>Very good quality product great price</v>
      </c>
    </row>
    <row r="862">
      <c r="A862" s="1">
        <v>5.0</v>
      </c>
      <c r="B862" s="1" t="s">
        <v>859</v>
      </c>
      <c r="C862" t="str">
        <f>IFERROR(__xludf.DUMMYFUNCTION("GOOGLETRANSLATE(B862, ""fr"", ""en"")"),"Stability This massage table is very convenient to the opening is very stable, the materials are beautiful and pleasant to the touch I am very satisfied")</f>
        <v>Stability This massage table is very convenient to the opening is very stable, the materials are beautiful and pleasant to the touch I am very satisfied</v>
      </c>
    </row>
    <row r="863">
      <c r="A863" s="1">
        <v>5.0</v>
      </c>
      <c r="B863" s="1" t="s">
        <v>860</v>
      </c>
      <c r="C863" t="str">
        <f>IFERROR(__xludf.DUMMYFUNCTION("GOOGLETRANSLATE(B863, ""fr"", ""en"")"),"matches the description I bought this jewelry for a gift. It is very nice, very fine and matches the description")</f>
        <v>matches the description I bought this jewelry for a gift. It is very nice, very fine and matches the description</v>
      </c>
    </row>
    <row r="864">
      <c r="A864" s="1">
        <v>5.0</v>
      </c>
      <c r="B864" s="1" t="s">
        <v>861</v>
      </c>
      <c r="C864" t="str">
        <f>IFERROR(__xludf.DUMMYFUNCTION("GOOGLETRANSLATE(B864, ""fr"", ""en"")"),"Top ! With 48v phantom power that's great! Very good sound and very good finish! The antipop filter is not bad but lets few breaths")</f>
        <v>Top ! With 48v phantom power that's great! Very good sound and very good finish! The antipop filter is not bad but lets few breaths</v>
      </c>
    </row>
    <row r="865">
      <c r="A865" s="1">
        <v>5.0</v>
      </c>
      <c r="B865" s="1" t="s">
        <v>862</v>
      </c>
      <c r="C865" t="str">
        <f>IFERROR(__xludf.DUMMYFUNCTION("GOOGLETRANSLATE(B865, ""fr"", ""en"")"),"Beautiful beautiful boots / boots. Comfortable and stylish.")</f>
        <v>Beautiful beautiful boots / boots. Comfortable and stylish.</v>
      </c>
    </row>
    <row r="866">
      <c r="A866" s="1">
        <v>5.0</v>
      </c>
      <c r="B866" s="1" t="s">
        <v>863</v>
      </c>
      <c r="C866" t="str">
        <f>IFERROR(__xludf.DUMMYFUNCTION("GOOGLETRANSLATE(B866, ""fr"", ""en"")"),". Gaming")</f>
        <v>. Gaming</v>
      </c>
    </row>
    <row r="867">
      <c r="A867" s="1">
        <v>5.0</v>
      </c>
      <c r="B867" s="1" t="s">
        <v>864</v>
      </c>
      <c r="C867" t="str">
        <f>IFERROR(__xludf.DUMMYFUNCTION("GOOGLETRANSLATE(B867, ""fr"", ""en"")"),"Very satisfied 👍😊 I am very happy and satisfied with the ink cartridges for my printer Buy I has 🖨 I recommend it to anyone who hesitates go rush !!")</f>
        <v>Very satisfied 👍😊 I am very happy and satisfied with the ink cartridges for my printer Buy I has 🖨 I recommend it to anyone who hesitates go rush !!</v>
      </c>
    </row>
    <row r="868">
      <c r="A868" s="1">
        <v>5.0</v>
      </c>
      <c r="B868" s="1" t="s">
        <v>865</v>
      </c>
      <c r="C868" t="str">
        <f>IFERROR(__xludf.DUMMYFUNCTION("GOOGLETRANSLATE(B868, ""fr"", ""en"")"),"Very good value My daughter bought this necklace to share it with a friend she is very satisfied!")</f>
        <v>Very good value My daughter bought this necklace to share it with a friend she is very satisfied!</v>
      </c>
    </row>
    <row r="869">
      <c r="A869" s="1">
        <v>2.0</v>
      </c>
      <c r="B869" s="1" t="s">
        <v>866</v>
      </c>
      <c r="C869" t="str">
        <f>IFERROR(__xludf.DUMMYFUNCTION("GOOGLETRANSLATE(B869, ""fr"", ""en"")"),"A little disappointed I like bottles mam my daughter 16 months has used these bottles since birth. I'm just disappointed bottles I ordered these bottles because I find them cute to complete my collection at the opening of my package was not ordered bottle"&amp;"s Total Disappointment ...")</f>
        <v>A little disappointed I like bottles mam my daughter 16 months has used these bottles since birth. I'm just disappointed bottles I ordered these bottles because I find them cute to complete my collection at the opening of my package was not ordered bottles Total Disappointment ...</v>
      </c>
    </row>
    <row r="870">
      <c r="A870" s="1">
        <v>1.0</v>
      </c>
      <c r="B870" s="1" t="s">
        <v>867</v>
      </c>
      <c r="C870" t="str">
        <f>IFERROR(__xludf.DUMMYFUNCTION("GOOGLETRANSLATE(B870, ""fr"", ""en"")"),"Size Too Small very small size for m ... Looks XS ....")</f>
        <v>Size Too Small very small size for m ... Looks XS ....</v>
      </c>
    </row>
    <row r="871">
      <c r="A871" s="1">
        <v>1.0</v>
      </c>
      <c r="B871" s="1" t="s">
        <v>868</v>
      </c>
      <c r="C871" t="str">
        <f>IFERROR(__xludf.DUMMYFUNCTION("GOOGLETRANSLATE(B871, ""fr"", ""en"")"),"Too little disappointed for XXL product received corresponds to a million, I am very disappointed, I will return the product and I do not recommend.")</f>
        <v>Too little disappointed for XXL product received corresponds to a million, I am very disappointed, I will return the product and I do not recommend.</v>
      </c>
    </row>
    <row r="872">
      <c r="A872" s="1">
        <v>3.0</v>
      </c>
      <c r="B872" s="1" t="s">
        <v>869</v>
      </c>
      <c r="C872" t="str">
        <f>IFERROR(__xludf.DUMMYFUNCTION("GOOGLETRANSLATE(B872, ""fr"", ""en"")"),"the product of good quality jai indicated adapted as expected because in my case and in the opinions of people who know this is often carhartt off so i chosen MEDIUM but for some reason i received S .... short article and impeccable except it .")</f>
        <v>the product of good quality jai indicated adapted as expected because in my case and in the opinions of people who know this is often carhartt off so i chosen MEDIUM but for some reason i received S .... short article and impeccable except it .</v>
      </c>
    </row>
    <row r="873">
      <c r="A873" s="1">
        <v>4.0</v>
      </c>
      <c r="B873" s="1" t="s">
        <v>870</v>
      </c>
      <c r="C873" t="str">
        <f>IFERROR(__xludf.DUMMYFUNCTION("GOOGLETRANSLATE(B873, ""fr"", ""en"")"),"Good headphones Good headphones but nothing extraordinary, more must repay a € 20 application later to have Dolby Atmos, a better quality sound (quick huh, like nothing extraordinary).")</f>
        <v>Good headphones Good headphones but nothing extraordinary, more must repay a € 20 application later to have Dolby Atmos, a better quality sound (quick huh, like nothing extraordinary).</v>
      </c>
    </row>
    <row r="874">
      <c r="A874" s="1">
        <v>4.0</v>
      </c>
      <c r="B874" s="1" t="s">
        <v>871</v>
      </c>
      <c r="C874" t="str">
        <f>IFERROR(__xludf.DUMMYFUNCTION("GOOGLETRANSLATE(B874, ""fr"", ""en"")"),"Good value for money Good value for money. Perfectly fits the screen, is easy to install and quickly, no bubble, holds well and fits well on all sides. The efficiency of the glass in case of impact remains to be seen, but it's a safe to put one on his pho"&amp;"ne. I recommend this article.")</f>
        <v>Good value for money Good value for money. Perfectly fits the screen, is easy to install and quickly, no bubble, holds well and fits well on all sides. The efficiency of the glass in case of impact remains to be seen, but it's a safe to put one on his phone. I recommend this article.</v>
      </c>
    </row>
    <row r="875">
      <c r="A875" s="1">
        <v>4.0</v>
      </c>
      <c r="B875" s="1" t="s">
        <v>872</v>
      </c>
      <c r="C875" t="str">
        <f>IFERROR(__xludf.DUMMYFUNCTION("GOOGLETRANSLATE(B875, ""fr"", ""en"")"),"Bracelet Stylish duo, are doing very well in duo")</f>
        <v>Bracelet Stylish duo, are doing very well in duo</v>
      </c>
    </row>
    <row r="876">
      <c r="A876" s="1">
        <v>4.0</v>
      </c>
      <c r="B876" s="1" t="s">
        <v>873</v>
      </c>
      <c r="C876" t="str">
        <f>IFERROR(__xludf.DUMMYFUNCTION("GOOGLETRANSLATE(B876, ""fr"", ""en"")"),"Speed ​​of delivery and packaging to top the beauty of the stones")</f>
        <v>Speed ​​of delivery and packaging to top the beauty of the stones</v>
      </c>
    </row>
    <row r="877">
      <c r="A877" s="1">
        <v>5.0</v>
      </c>
      <c r="B877" s="1" t="s">
        <v>874</v>
      </c>
      <c r="C877" t="str">
        <f>IFERROR(__xludf.DUMMYFUNCTION("GOOGLETRANSLATE(B877, ""fr"", ""en"")"),"Delivery very fast thank you serious Seller good listener falls not acceptable sound very fast delivery I recommend")</f>
        <v>Delivery very fast thank you serious Seller good listener falls not acceptable sound very fast delivery I recommend</v>
      </c>
    </row>
    <row r="878">
      <c r="A878" s="1">
        <v>5.0</v>
      </c>
      <c r="B878" s="1" t="s">
        <v>875</v>
      </c>
      <c r="C878" t="str">
        <f>IFERROR(__xludf.DUMMYFUNCTION("GOOGLETRANSLATE(B878, ""fr"", ""en"")"),"Impeccable Everything is perfect. There is nothing to say. Very soft, pleasant to the touch. The compartments are well laid out and the look is nice.")</f>
        <v>Impeccable Everything is perfect. There is nothing to say. Very soft, pleasant to the touch. The compartments are well laid out and the look is nice.</v>
      </c>
    </row>
    <row r="879">
      <c r="A879" s="1">
        <v>5.0</v>
      </c>
      <c r="B879" s="1" t="s">
        <v>876</v>
      </c>
      <c r="C879" t="str">
        <f>IFERROR(__xludf.DUMMYFUNCTION("GOOGLETRANSLATE(B879, ""fr"", ""en"")"),"Yeah she loved")</f>
        <v>Yeah she loved</v>
      </c>
    </row>
    <row r="880">
      <c r="A880" s="1">
        <v>5.0</v>
      </c>
      <c r="B880" s="1" t="s">
        <v>877</v>
      </c>
      <c r="C880" t="str">
        <f>IFERROR(__xludf.DUMMYFUNCTION("GOOGLETRANSLATE(B880, ""fr"", ""en"")"),"Insulators and comfortable I really find super.La foam is really innovative and pleasing to the ear. It replaces my original headphones one more and the sound quality is really good. The son does not mix and are very discreet.")</f>
        <v>Insulators and comfortable I really find super.La foam is really innovative and pleasing to the ear. It replaces my original headphones one more and the sound quality is really good. The son does not mix and are very discreet.</v>
      </c>
    </row>
    <row r="881">
      <c r="A881" s="1">
        <v>5.0</v>
      </c>
      <c r="B881" s="1" t="s">
        <v>878</v>
      </c>
      <c r="C881" t="str">
        <f>IFERROR(__xludf.DUMMYFUNCTION("GOOGLETRANSLATE(B881, ""fr"", ""en"")"),"Bottles Met my expectations")</f>
        <v>Bottles Met my expectations</v>
      </c>
    </row>
    <row r="882">
      <c r="A882" s="1">
        <v>5.0</v>
      </c>
      <c r="B882" s="1" t="s">
        <v>879</v>
      </c>
      <c r="C882" t="str">
        <f>IFERROR(__xludf.DUMMYFUNCTION("GOOGLETRANSLATE(B882, ""fr"", ""en"")"),"nothing wrong just received already tested, I am very satisfied with my purchase! pretty colors, panel intéressant.Une suggestion: make the same panel but on average spikes as for Stabilo 88.")</f>
        <v>nothing wrong just received already tested, I am very satisfied with my purchase! pretty colors, panel intéressant.Une suggestion: make the same panel but on average spikes as for Stabilo 88.</v>
      </c>
    </row>
    <row r="883">
      <c r="A883" s="1">
        <v>5.0</v>
      </c>
      <c r="B883" s="1" t="s">
        <v>880</v>
      </c>
      <c r="C883" t="str">
        <f>IFERROR(__xludf.DUMMYFUNCTION("GOOGLETRANSLATE(B883, ""fr"", ""en"")"),"Comfortable Meets photo")</f>
        <v>Comfortable Meets photo</v>
      </c>
    </row>
    <row r="884">
      <c r="A884" s="1">
        <v>5.0</v>
      </c>
      <c r="B884" s="1" t="s">
        <v>881</v>
      </c>
      <c r="C884" t="str">
        <f>IFERROR(__xludf.DUMMYFUNCTION("GOOGLETRANSLATE(B884, ""fr"", ""en"")"),"The perfect headphones are very good and much more satisfactory than expected. I bought it to go to work and I listened to the song quietly. Concealment is very good ~ The compact design can be worn with me. I wear it when I arrive. It is very safe and di"&amp;"fficult to find. It's very convenient, packaging is also very good, more delicate, the product is really good, especially the sound of the Bluetooth headset is quite clear there will be no noise")</f>
        <v>The perfect headphones are very good and much more satisfactory than expected. I bought it to go to work and I listened to the song quietly. Concealment is very good ~ The compact design can be worn with me. I wear it when I arrive. It is very safe and difficult to find. It's very convenient, packaging is also very good, more delicate, the product is really good, especially the sound of the Bluetooth headset is quite clear there will be no noise</v>
      </c>
    </row>
    <row r="885">
      <c r="A885" s="1">
        <v>5.0</v>
      </c>
      <c r="B885" s="1" t="s">
        <v>882</v>
      </c>
      <c r="C885" t="str">
        <f>IFERROR(__xludf.DUMMYFUNCTION("GOOGLETRANSLATE(B885, ""fr"", ""en"")"),"Brassieres excellent calvin As usual of very good quality produit..taille parfaite..et also nothing to add more C is a beautiful brassiere")</f>
        <v>Brassieres excellent calvin As usual of very good quality produit..taille parfaite..et also nothing to add more C is a beautiful brassiere</v>
      </c>
    </row>
    <row r="886">
      <c r="A886" s="1">
        <v>5.0</v>
      </c>
      <c r="B886" s="1" t="s">
        <v>883</v>
      </c>
      <c r="C886" t="str">
        <f>IFERROR(__xludf.DUMMYFUNCTION("GOOGLETRANSLATE(B886, ""fr"", ""en"")"),"bottles on top !!!! I recommend these bottles, used at the time for my son, I bought for my future baby coming in a few months.")</f>
        <v>bottles on top !!!! I recommend these bottles, used at the time for my son, I bought for my future baby coming in a few months.</v>
      </c>
    </row>
    <row r="887">
      <c r="A887" s="1">
        <v>5.0</v>
      </c>
      <c r="B887" s="1" t="s">
        <v>884</v>
      </c>
      <c r="C887" t="str">
        <f>IFERROR(__xludf.DUMMYFUNCTION("GOOGLETRANSLATE(B887, ""fr"", ""en"")"),"Lacoste very well done good job well done it makes it very well and very convenient")</f>
        <v>Lacoste very well done good job well done it makes it very well and very convenient</v>
      </c>
    </row>
    <row r="888">
      <c r="A888" s="1">
        <v>5.0</v>
      </c>
      <c r="B888" s="1" t="s">
        <v>885</v>
      </c>
      <c r="C888" t="str">
        <f>IFERROR(__xludf.DUMMYFUNCTION("GOOGLETRANSLATE(B888, ""fr"", ""en"")"),"Value for money Excellent! Relieves tension really. Can be used on all parts of the body that need it.")</f>
        <v>Value for money Excellent! Relieves tension really. Can be used on all parts of the body that need it.</v>
      </c>
    </row>
    <row r="889">
      <c r="A889" s="1">
        <v>5.0</v>
      </c>
      <c r="B889" s="1" t="s">
        <v>886</v>
      </c>
      <c r="C889" t="str">
        <f>IFERROR(__xludf.DUMMYFUNCTION("GOOGLETRANSLATE(B889, ""fr"", ""en"")"),"Product compliant Very good product")</f>
        <v>Product compliant Very good product</v>
      </c>
    </row>
    <row r="890">
      <c r="A890" s="1">
        <v>5.0</v>
      </c>
      <c r="B890" s="1" t="s">
        <v>887</v>
      </c>
      <c r="C890" t="str">
        <f>IFERROR(__xludf.DUMMYFUNCTION("GOOGLETRANSLATE(B890, ""fr"", ""en"")"),"Well I bought for my daughter, perfect in size pair of comfortable sneakers, breathable, at heel below specifically corner air making it comfortable to feet, my daughter loves her shoes and I just my purchase.")</f>
        <v>Well I bought for my daughter, perfect in size pair of comfortable sneakers, breathable, at heel below specifically corner air making it comfortable to feet, my daughter loves her shoes and I just my purchase.</v>
      </c>
    </row>
    <row r="891">
      <c r="A891" s="1">
        <v>5.0</v>
      </c>
      <c r="B891" s="1" t="s">
        <v>888</v>
      </c>
      <c r="C891" t="str">
        <f>IFERROR(__xludf.DUMMYFUNCTION("GOOGLETRANSLATE(B891, ""fr"", ""en"")"),"Beautiful imitation bracelet a bit long but otherwise nice watch, very fast shipping, presentation of the watch very carefully ... so ... Satisfied to see in time of course !!!")</f>
        <v>Beautiful imitation bracelet a bit long but otherwise nice watch, very fast shipping, presentation of the watch very carefully ... so ... Satisfied to see in time of course !!!</v>
      </c>
    </row>
    <row r="892">
      <c r="A892" s="1">
        <v>2.0</v>
      </c>
      <c r="B892" s="1" t="s">
        <v>889</v>
      </c>
      <c r="C892" t="str">
        <f>IFERROR(__xludf.DUMMYFUNCTION("GOOGLETRANSLATE(B892, ""fr"", ""en"")"),"Recommends moderately Fortunately that I had planned to take 1 to 2 size smaller if not high quality good given the price we not expect .... Otherwise hot well")</f>
        <v>Recommends moderately Fortunately that I had planned to take 1 to 2 size smaller if not high quality good given the price we not expect .... Otherwise hot well</v>
      </c>
    </row>
    <row r="893">
      <c r="A893" s="1">
        <v>1.0</v>
      </c>
      <c r="B893" s="1" t="s">
        <v>890</v>
      </c>
      <c r="C893" t="str">
        <f>IFERROR(__xludf.DUMMYFUNCTION("GOOGLETRANSLATE(B893, ""fr"", ""en"")"),"It is broken in less than 24:00! The bracelet is broken for no reason in less than 24:00. Yet the elastic looked solid.")</f>
        <v>It is broken in less than 24:00! The bracelet is broken for no reason in less than 24:00. Yet the elastic looked solid.</v>
      </c>
    </row>
    <row r="894">
      <c r="A894" s="1">
        <v>3.0</v>
      </c>
      <c r="B894" s="1" t="s">
        <v>891</v>
      </c>
      <c r="C894" t="str">
        <f>IFERROR(__xludf.DUMMYFUNCTION("GOOGLETRANSLATE(B894, ""fr"", ""en"")"),"Convenient but tears easily Very convenient but there is already one that has torn at the opening Zip")</f>
        <v>Convenient but tears easily Very convenient but there is already one that has torn at the opening Zip</v>
      </c>
    </row>
    <row r="895">
      <c r="A895" s="1">
        <v>3.0</v>
      </c>
      <c r="B895" s="1" t="s">
        <v>892</v>
      </c>
      <c r="C895" t="str">
        <f>IFERROR(__xludf.DUMMYFUNCTION("GOOGLETRANSLATE(B895, ""fr"", ""en"")"),"Good article but tangled hair product complies with the description. Not disappointed on that side. I like to massage the head. But does not replace the manual massage. It is more aggressive than the fingertips even if the ends are rubbers. There are only"&amp;" 2 speeds and less fast is too fast I think. I have wavy hair sometimes matted it to me. But they do not stay stuck in it. I keep it anyway because I have someone to massage my head !!! 😒C'est better than nothing !!")</f>
        <v>Good article but tangled hair product complies with the description. Not disappointed on that side. I like to massage the head. But does not replace the manual massage. It is more aggressive than the fingertips even if the ends are rubbers. There are only 2 speeds and less fast is too fast I think. I have wavy hair sometimes matted it to me. But they do not stay stuck in it. I keep it anyway because I have someone to massage my head !!! 😒C'est better than nothing !!</v>
      </c>
    </row>
    <row r="896">
      <c r="A896" s="1">
        <v>4.0</v>
      </c>
      <c r="B896" s="1" t="s">
        <v>893</v>
      </c>
      <c r="C896" t="str">
        <f>IFERROR(__xludf.DUMMYFUNCTION("GOOGLETRANSLATE(B896, ""fr"", ""en"")"),"The cutter is not good The laminator is ultra simple to uSe. The cutter in hand is pretty bad, I do not serve me because I have another much more efficient and happily.")</f>
        <v>The cutter is not good The laminator is ultra simple to uSe. The cutter in hand is pretty bad, I do not serve me because I have another much more efficient and happily.</v>
      </c>
    </row>
    <row r="897">
      <c r="A897" s="1">
        <v>4.0</v>
      </c>
      <c r="B897" s="1" t="s">
        <v>894</v>
      </c>
      <c r="C897" t="str">
        <f>IFERROR(__xludf.DUMMYFUNCTION("GOOGLETRANSLATE(B897, ""fr"", ""en"")"),"Corresponds exactly to my needs Small sewing and handicrafts")</f>
        <v>Corresponds exactly to my needs Small sewing and handicrafts</v>
      </c>
    </row>
    <row r="898">
      <c r="A898" s="1">
        <v>4.0</v>
      </c>
      <c r="B898" s="1" t="s">
        <v>895</v>
      </c>
      <c r="C898" t="str">
        <f>IFERROR(__xludf.DUMMYFUNCTION("GOOGLETRANSLATE(B898, ""fr"", ""en"")"),"very useful ! I have ordered this cover for my husband which does not happen when he has returned to warm scooter in winter .... it s also serves on the couch in front of the film, its heat is adjustable, it heats gently .. .this product meets my expectat"&amp;"ions perfectly")</f>
        <v>very useful ! I have ordered this cover for my husband which does not happen when he has returned to warm scooter in winter .... it s also serves on the couch in front of the film, its heat is adjustable, it heats gently .. .this product meets my expectations perfectly</v>
      </c>
    </row>
    <row r="899">
      <c r="A899" s="1">
        <v>4.0</v>
      </c>
      <c r="B899" s="1" t="s">
        <v>896</v>
      </c>
      <c r="C899" t="str">
        <f>IFERROR(__xludf.DUMMYFUNCTION("GOOGLETRANSLATE(B899, ""fr"", ""en"")"),"good massage table Good food for the price. Do ""whines"" .J'attends not see the use (especially with people of strong stoutness)")</f>
        <v>good massage table Good food for the price. Do "whines" .J'attends not see the use (especially with people of strong stoutness)</v>
      </c>
    </row>
    <row r="900">
      <c r="A900" s="1">
        <v>5.0</v>
      </c>
      <c r="B900" s="1" t="s">
        <v>897</v>
      </c>
      <c r="C900" t="str">
        <f>IFERROR(__xludf.DUMMYFUNCTION("GOOGLETRANSLATE(B900, ""fr"", ""en"")"),"Good product Good product, the expectations you have to take a size smaller than your shoe size basketball")</f>
        <v>Good product Good product, the expectations you have to take a size smaller than your shoe size basketball</v>
      </c>
    </row>
    <row r="901">
      <c r="A901" s="1">
        <v>5.0</v>
      </c>
      <c r="B901" s="1" t="s">
        <v>898</v>
      </c>
      <c r="C901" t="str">
        <f>IFERROR(__xludf.DUMMYFUNCTION("GOOGLETRANSLATE(B901, ""fr"", ""en"")"),"On top Nickel")</f>
        <v>On top Nickel</v>
      </c>
    </row>
    <row r="902">
      <c r="A902" s="1">
        <v>5.0</v>
      </c>
      <c r="B902" s="1" t="s">
        <v>899</v>
      </c>
      <c r="C902" t="str">
        <f>IFERROR(__xludf.DUMMYFUNCTION("GOOGLETRANSLATE(B902, ""fr"", ""en"")"),"On a cloud I feel like in a cloud")</f>
        <v>On a cloud I feel like in a cloud</v>
      </c>
    </row>
    <row r="903">
      <c r="A903" s="1">
        <v>5.0</v>
      </c>
      <c r="B903" s="1" t="s">
        <v>900</v>
      </c>
      <c r="C903" t="str">
        <f>IFERROR(__xludf.DUMMYFUNCTION("GOOGLETRANSLATE(B903, ""fr"", ""en"")"),"RCA cable RCA XLR-XLR good, no bad contact yet ... molded RCA plugs therefore not removable. Proper length and marking colors L / R on the records")</f>
        <v>RCA cable RCA XLR-XLR good, no bad contact yet ... molded RCA plugs therefore not removable. Proper length and marking colors L / R on the records</v>
      </c>
    </row>
    <row r="904">
      <c r="A904" s="1">
        <v>5.0</v>
      </c>
      <c r="B904" s="1" t="s">
        <v>901</v>
      </c>
      <c r="C904" t="str">
        <f>IFERROR(__xludf.DUMMYFUNCTION("GOOGLETRANSLATE(B904, ""fr"", ""en"")"),"Micro No, really low end that I do not recommend it because the results are far from resembling the product description. The supplier's response can only show the seriousness of this company, a big thank you to her.")</f>
        <v>Micro No, really low end that I do not recommend it because the results are far from resembling the product description. The supplier's response can only show the seriousness of this company, a big thank you to her.</v>
      </c>
    </row>
    <row r="905">
      <c r="A905" s="1">
        <v>5.0</v>
      </c>
      <c r="B905" s="1" t="s">
        <v>902</v>
      </c>
      <c r="C905" t="str">
        <f>IFERROR(__xludf.DUMMYFUNCTION("GOOGLETRANSLATE(B905, ""fr"", ""en"")"),"Good nomadic headphones - good price / quality The Marshall quality is up to the Nomad helmet! With a good quality / price this headset is perfect for listening to music on his smartphone")</f>
        <v>Good nomadic headphones - good price / quality The Marshall quality is up to the Nomad helmet! With a good quality / price this headset is perfect for listening to music on his smartphone</v>
      </c>
    </row>
    <row r="906">
      <c r="A906" s="1">
        <v>5.0</v>
      </c>
      <c r="B906" s="1" t="s">
        <v>903</v>
      </c>
      <c r="C906" t="str">
        <f>IFERROR(__xludf.DUMMYFUNCTION("GOOGLETRANSLATE(B906, ""fr"", ""en"")"),"Jewel Bracelet Rose Gold Plated Beautiful Color Leaves Zircon Women's super seller thank you thank you")</f>
        <v>Jewel Bracelet Rose Gold Plated Beautiful Color Leaves Zircon Women's super seller thank you thank you</v>
      </c>
    </row>
    <row r="907">
      <c r="A907" s="1">
        <v>5.0</v>
      </c>
      <c r="B907" s="1" t="s">
        <v>904</v>
      </c>
      <c r="C907" t="str">
        <f>IFERROR(__xludf.DUMMYFUNCTION("GOOGLETRANSLATE(B907, ""fr"", ""en"")"),"Perfect Nothing to say, these shoes are fine.")</f>
        <v>Perfect Nothing to say, these shoes are fine.</v>
      </c>
    </row>
    <row r="908">
      <c r="A908" s="1">
        <v>5.0</v>
      </c>
      <c r="B908" s="1" t="s">
        <v>905</v>
      </c>
      <c r="C908" t="str">
        <f>IFERROR(__xludf.DUMMYFUNCTION("GOOGLETRANSLATE(B908, ""fr"", ""en"")"),"Complies perfect shoes and perfect size")</f>
        <v>Complies perfect shoes and perfect size</v>
      </c>
    </row>
    <row r="909">
      <c r="A909" s="1">
        <v>5.0</v>
      </c>
      <c r="B909" s="1" t="s">
        <v>906</v>
      </c>
      <c r="C909" t="str">
        <f>IFERROR(__xludf.DUMMYFUNCTION("GOOGLETRANSLATE(B909, ""fr"", ""en"")"),"comfortable shoe size well, I took the 38. It's a good shoe, it seems to be in slippers so it's comfortable.")</f>
        <v>comfortable shoe size well, I took the 38. It's a good shoe, it seems to be in slippers so it's comfortable.</v>
      </c>
    </row>
    <row r="910">
      <c r="A910" s="1">
        <v>5.0</v>
      </c>
      <c r="B910" s="1" t="s">
        <v>907</v>
      </c>
      <c r="C910" t="str">
        <f>IFERROR(__xludf.DUMMYFUNCTION("GOOGLETRANSLATE(B910, ""fr"", ""en"")"),"Stupéfaint I was looking for a reasonably priced headphones and good, and I was served! The sound is just amazing and very balanced.")</f>
        <v>Stupéfaint I was looking for a reasonably priced headphones and good, and I was served! The sound is just amazing and very balanced.</v>
      </c>
    </row>
    <row r="911">
      <c r="A911" s="1">
        <v>5.0</v>
      </c>
      <c r="B911" s="1" t="s">
        <v>908</v>
      </c>
      <c r="C911" t="str">
        <f>IFERROR(__xludf.DUMMYFUNCTION("GOOGLETRANSLATE(B911, ""fr"", ""en"")"),"Discreet bluetooth headphones without son by a listener ears Very discreet because no son, the sound quality is very correct Perfect for listening to music during exercise or office with discretion")</f>
        <v>Discreet bluetooth headphones without son by a listener ears Very discreet because no son, the sound quality is very correct Perfect for listening to music during exercise or office with discretion</v>
      </c>
    </row>
    <row r="912">
      <c r="A912" s="1">
        <v>5.0</v>
      </c>
      <c r="B912" s="1" t="s">
        <v>909</v>
      </c>
      <c r="C912" t="str">
        <f>IFERROR(__xludf.DUMMYFUNCTION("GOOGLETRANSLATE(B912, ""fr"", ""en"")"),"essential item since we that tree, everyone loves the design level, it has become a real friend and indispensable to our daily practice of parents, easy to clean and you get to put a lot of bottles and accessories")</f>
        <v>essential item since we that tree, everyone loves the design level, it has become a real friend and indispensable to our daily practice of parents, easy to clean and you get to put a lot of bottles and accessories</v>
      </c>
    </row>
    <row r="913">
      <c r="A913" s="1">
        <v>5.0</v>
      </c>
      <c r="B913" s="1" t="s">
        <v>910</v>
      </c>
      <c r="C913" t="str">
        <f>IFERROR(__xludf.DUMMYFUNCTION("GOOGLETRANSLATE(B913, ""fr"", ""en"")"),"Delighted with my purchase. A little mini the kettle, a little larger than the size of my hand. Mini but Convenient for home. The hose to get the water is different than a normal kettle but very practical, more concern is that reverse too empty and it bur"&amp;"ns your hands. The limit (max) to fill the water is lower but sufficient. And different functionality, such as +/- and keep warm (I think) is more than a normal kettle which I did not use. Anyway, this mini kettle through everything, even the office is Hy"&amp;"per practice. I strong recommend.")</f>
        <v>Delighted with my purchase. A little mini the kettle, a little larger than the size of my hand. Mini but Convenient for home. The hose to get the water is different than a normal kettle but very practical, more concern is that reverse too empty and it burns your hands. The limit (max) to fill the water is lower but sufficient. And different functionality, such as +/- and keep warm (I think) is more than a normal kettle which I did not use. Anyway, this mini kettle through everything, even the office is Hyper practice. I strong recommend.</v>
      </c>
    </row>
    <row r="914">
      <c r="A914" s="1">
        <v>5.0</v>
      </c>
      <c r="B914" s="1" t="s">
        <v>911</v>
      </c>
      <c r="C914" t="str">
        <f>IFERROR(__xludf.DUMMYFUNCTION("GOOGLETRANSLATE(B914, ""fr"", ""en"")"),"I love these loops The quality of these earrings is very good, I put on the second hole I made the ears is top. I like the color shining color style of the rainbow sky. In 925 sterilized. The loops are very comfortable. All the details are well made. Arri"&amp;"val in the box with the brand name it.")</f>
        <v>I love these loops The quality of these earrings is very good, I put on the second hole I made the ears is top. I like the color shining color style of the rainbow sky. In 925 sterilized. The loops are very comfortable. All the details are well made. Arrival in the box with the brand name it.</v>
      </c>
    </row>
    <row r="915">
      <c r="A915" s="1">
        <v>5.0</v>
      </c>
      <c r="B915" s="1" t="s">
        <v>912</v>
      </c>
      <c r="C915" t="str">
        <f>IFERROR(__xludf.DUMMYFUNCTION("GOOGLETRANSLATE(B915, ""fr"", ""en"")"),"Really good :) My son uses this helmet on his PC mainly for games but also for youtube videos. He appreciates the comfort foam on the headphones and also the microphone sensitivity when its gaming parties. The helmet is adjusted easily and adapts well to "&amp;"the head. The cable is long enough and the sound setting is done directly on one of the earphones. In summary, considering the price I am very satisfied.")</f>
        <v>Really good :) My son uses this helmet on his PC mainly for games but also for youtube videos. He appreciates the comfort foam on the headphones and also the microphone sensitivity when its gaming parties. The helmet is adjusted easily and adapts well to the head. The cable is long enough and the sound setting is done directly on one of the earphones. In summary, considering the price I am very satisfied.</v>
      </c>
    </row>
    <row r="916">
      <c r="A916" s="1">
        <v>2.0</v>
      </c>
      <c r="B916" s="1" t="s">
        <v>913</v>
      </c>
      <c r="C916" t="str">
        <f>IFERROR(__xludf.DUMMYFUNCTION("GOOGLETRANSLATE(B916, ""fr"", ""en"")"),"poor quality sticky")</f>
        <v>poor quality sticky</v>
      </c>
    </row>
    <row r="917">
      <c r="A917" s="1">
        <v>1.0</v>
      </c>
      <c r="B917" s="1" t="s">
        <v>914</v>
      </c>
      <c r="C917" t="str">
        <f>IFERROR(__xludf.DUMMYFUNCTION("GOOGLETRANSLATE(B917, ""fr"", ""en"")"),"Disappointed Very disappointed small size was late and more with a seam torn I have not returned for lack of time but very disappointed")</f>
        <v>Disappointed Very disappointed small size was late and more with a seam torn I have not returned for lack of time but very disappointed</v>
      </c>
    </row>
    <row r="918">
      <c r="A918" s="1">
        <v>1.0</v>
      </c>
      <c r="B918" s="1" t="s">
        <v>915</v>
      </c>
      <c r="C918" t="str">
        <f>IFERROR(__xludf.DUMMYFUNCTION("GOOGLETRANSLATE(B918, ""fr"", ""en"")"),"very deçue I ordered this case for my christmas married. She had very good reviews on Amazon and therefore a very good price / quality ratio. After six weeks of use, it is already disjointed (see photo attached). I'm so disappointed.")</f>
        <v>very deçue I ordered this case for my christmas married. She had very good reviews on Amazon and therefore a very good price / quality ratio. After six weeks of use, it is already disjointed (see photo attached). I'm so disappointed.</v>
      </c>
    </row>
    <row r="919">
      <c r="A919" s="1">
        <v>3.0</v>
      </c>
      <c r="B919" s="1" t="s">
        <v>916</v>
      </c>
      <c r="C919" t="str">
        <f>IFERROR(__xludf.DUMMYFUNCTION("GOOGLETRANSLATE(B919, ""fr"", ""en"")"),"Clean and vacuum it is beautiful ... Between limestone and fog, once in service design becomes very disappointing. Benefits, however: we can see the volume of water drawn with scale and contains many (1.7 liters).")</f>
        <v>Clean and vacuum it is beautiful ... Between limestone and fog, once in service design becomes very disappointing. Benefits, however: we can see the volume of water drawn with scale and contains many (1.7 liters).</v>
      </c>
    </row>
    <row r="920">
      <c r="A920" s="1">
        <v>3.0</v>
      </c>
      <c r="B920" s="1" t="s">
        <v>917</v>
      </c>
      <c r="C920" t="str">
        <f>IFERROR(__xludf.DUMMYFUNCTION("GOOGLETRANSLATE(B920, ""fr"", ""en"")"),"Sweat Received before déla, a sweatshirt that keeps you warm but not at all in line with what was announced in the retail Amazon")</f>
        <v>Sweat Received before déla, a sweatshirt that keeps you warm but not at all in line with what was announced in the retail Amazon</v>
      </c>
    </row>
    <row r="921">
      <c r="A921" s="1">
        <v>4.0</v>
      </c>
      <c r="B921" s="1" t="s">
        <v>918</v>
      </c>
      <c r="C921" t="str">
        <f>IFERROR(__xludf.DUMMYFUNCTION("GOOGLETRANSLATE(B921, ""fr"", ""en"")"),"WATCH CASIO The only observation is that the order there is no indication of the length of strap and receiving the bracelet is too short not to wear")</f>
        <v>WATCH CASIO The only observation is that the order there is no indication of the length of strap and receiving the bracelet is too short not to wear</v>
      </c>
    </row>
    <row r="922">
      <c r="A922" s="1">
        <v>4.0</v>
      </c>
      <c r="B922" s="1" t="s">
        <v>919</v>
      </c>
      <c r="C922" t="str">
        <f>IFERROR(__xludf.DUMMYFUNCTION("GOOGLETRANSLATE(B922, ""fr"", ""en"")"),"stylish cap least draw sheet in a 100 percent cotton")</f>
        <v>stylish cap least draw sheet in a 100 percent cotton</v>
      </c>
    </row>
    <row r="923">
      <c r="A923" s="1">
        <v>4.0</v>
      </c>
      <c r="B923" s="1" t="s">
        <v>920</v>
      </c>
      <c r="C923" t="str">
        <f>IFERROR(__xludf.DUMMYFUNCTION("GOOGLETRANSLATE(B923, ""fr"", ""en"")"),"Quite interesting mouse pad to support the wrist but I find that silicone is too soft a shame")</f>
        <v>Quite interesting mouse pad to support the wrist but I find that silicone is too soft a shame</v>
      </c>
    </row>
    <row r="924">
      <c r="A924" s="1">
        <v>4.0</v>
      </c>
      <c r="B924" s="1" t="s">
        <v>921</v>
      </c>
      <c r="C924" t="str">
        <f>IFERROR(__xludf.DUMMYFUNCTION("GOOGLETRANSLATE(B924, ""fr"", ""en"")"),"Good ! Good but slightly hurt the ears")</f>
        <v>Good ! Good but slightly hurt the ears</v>
      </c>
    </row>
    <row r="925">
      <c r="A925" s="1">
        <v>4.0</v>
      </c>
      <c r="B925" s="1" t="s">
        <v>922</v>
      </c>
      <c r="C925" t="str">
        <f>IFERROR(__xludf.DUMMYFUNCTION("GOOGLETRANSLATE(B925, ""fr"", ""en"")"),"Good product quality microphone is suitable without more, the windscreen is very convenient to eliminate any wind noise. Attention to the positioning of the jack on a mobile whose antennas are close, it may be heard in the sound. The trick then is to go m"&amp;"obile in airplane mode for a sound recording, on condition of not being dependent on the network at this outlet.")</f>
        <v>Good product quality microphone is suitable without more, the windscreen is very convenient to eliminate any wind noise. Attention to the positioning of the jack on a mobile whose antennas are close, it may be heard in the sound. The trick then is to go mobile in airplane mode for a sound recording, on condition of not being dependent on the network at this outlet.</v>
      </c>
    </row>
    <row r="926">
      <c r="A926" s="1">
        <v>5.0</v>
      </c>
      <c r="B926" s="1" t="s">
        <v>923</v>
      </c>
      <c r="C926" t="str">
        <f>IFERROR(__xludf.DUMMYFUNCTION("GOOGLETRANSLATE(B926, ""fr"", ""en"")"),"Cleaning vinyl disc I have rediscovered that I thought the perdu.Si produced seems a bit expensive when I cleaned meme about 100 vinyls per liter, thank you for durable.Encore effect.")</f>
        <v>Cleaning vinyl disc I have rediscovered that I thought the perdu.Si produced seems a bit expensive when I cleaned meme about 100 vinyls per liter, thank you for durable.Encore effect.</v>
      </c>
    </row>
    <row r="927">
      <c r="A927" s="1">
        <v>5.0</v>
      </c>
      <c r="B927" s="1" t="s">
        <v>924</v>
      </c>
      <c r="C927" t="str">
        <f>IFERROR(__xludf.DUMMYFUNCTION("GOOGLETRANSLATE(B927, ""fr"", ""en"")"),"Super Knowing they run small I took a size more and that's fine. I teen These sneakers I had already silver. They are resistant and glitter too.")</f>
        <v>Super Knowing they run small I took a size more and that's fine. I teen These sneakers I had already silver. They are resistant and glitter too.</v>
      </c>
    </row>
    <row r="928">
      <c r="A928" s="1">
        <v>5.0</v>
      </c>
      <c r="B928" s="1" t="s">
        <v>925</v>
      </c>
      <c r="C928" t="str">
        <f>IFERROR(__xludf.DUMMYFUNCTION("GOOGLETRANSLATE(B928, ""fr"", ""en"")"),"attention to the size Think about a size above the usual with previous Puma. I put on with this brand, normally 42 and I had to order for this pair a size 43.")</f>
        <v>attention to the size Think about a size above the usual with previous Puma. I put on with this brand, normally 42 and I had to order for this pair a size 43.</v>
      </c>
    </row>
    <row r="929">
      <c r="A929" s="1">
        <v>5.0</v>
      </c>
      <c r="B929" s="1" t="s">
        <v>926</v>
      </c>
      <c r="C929" t="str">
        <f>IFERROR(__xludf.DUMMYFUNCTION("GOOGLETRANSLATE(B929, ""fr"", ""en"")"),"Okay Compliance")</f>
        <v>Okay Compliance</v>
      </c>
    </row>
    <row r="930">
      <c r="A930" s="1">
        <v>5.0</v>
      </c>
      <c r="B930" s="1" t="s">
        <v>927</v>
      </c>
      <c r="C930" t="str">
        <f>IFERROR(__xludf.DUMMYFUNCTION("GOOGLETRANSLATE(B930, ""fr"", ""en"")"),"The Excellent legging looks like the photo, received quickly (before the date), I will order another color next time because the gray will not put myself in value. I took a size S (I 55 kg 1m62) and I wear XS usually")</f>
        <v>The Excellent legging looks like the photo, received quickly (before the date), I will order another color next time because the gray will not put myself in value. I took a size S (I 55 kg 1m62) and I wear XS usually</v>
      </c>
    </row>
    <row r="931">
      <c r="A931" s="1">
        <v>5.0</v>
      </c>
      <c r="B931" s="1" t="s">
        <v>928</v>
      </c>
      <c r="C931" t="str">
        <f>IFERROR(__xludf.DUMMYFUNCTION("GOOGLETRANSLATE(B931, ""fr"", ""en"")"),"Although frankly for the price it is impeccable. Well it's a coat for the winter in the south - I am satisfied, I recommend a second")</f>
        <v>Although frankly for the price it is impeccable. Well it's a coat for the winter in the south - I am satisfied, I recommend a second</v>
      </c>
    </row>
    <row r="932">
      <c r="A932" s="1">
        <v>5.0</v>
      </c>
      <c r="B932" s="1" t="s">
        <v>929</v>
      </c>
      <c r="C932" t="str">
        <f>IFERROR(__xludf.DUMMYFUNCTION("GOOGLETRANSLATE(B932, ""fr"", ""en"")"),"My son Gomettes ador j is even recommending a lot for the anniversary of my niece. Color her beautiful bright color of pastel color. A small pouch to put everything into it very convenient")</f>
        <v>My son Gomettes ador j is even recommending a lot for the anniversary of my niece. Color her beautiful bright color of pastel color. A small pouch to put everything into it very convenient</v>
      </c>
    </row>
    <row r="933">
      <c r="A933" s="1">
        <v>5.0</v>
      </c>
      <c r="B933" s="1" t="s">
        <v>930</v>
      </c>
      <c r="C933" t="str">
        <f>IFERROR(__xludf.DUMMYFUNCTION("GOOGLETRANSLATE(B933, ""fr"", ""en"")"),"consistent securiter very good shoe, very cofortable and very solid, I work in the construction industry and it is ideal for working in damp environments")</f>
        <v>consistent securiter very good shoe, very cofortable and very solid, I work in the construction industry and it is ideal for working in damp environments</v>
      </c>
    </row>
    <row r="934">
      <c r="A934" s="1">
        <v>5.0</v>
      </c>
      <c r="B934" s="1" t="s">
        <v>931</v>
      </c>
      <c r="C934" t="str">
        <f>IFERROR(__xludf.DUMMYFUNCTION("GOOGLETRANSLATE(B934, ""fr"", ""en"")"),"Excellent Very pretty!")</f>
        <v>Excellent Very pretty!</v>
      </c>
    </row>
    <row r="935">
      <c r="A935" s="1">
        <v>5.0</v>
      </c>
      <c r="B935" s="1" t="s">
        <v>932</v>
      </c>
      <c r="C935" t="str">
        <f>IFERROR(__xludf.DUMMYFUNCTION("GOOGLETRANSLATE(B935, ""fr"", ""en"")"),"++++ perfect foofSaver this really is perfect both for its simple use for the quality of vacuum and welding. The products keep their freshness perfectly")</f>
        <v>++++ perfect foofSaver this really is perfect both for its simple use for the quality of vacuum and welding. The products keep their freshness perfectly</v>
      </c>
    </row>
    <row r="936">
      <c r="A936" s="1">
        <v>5.0</v>
      </c>
      <c r="B936" s="1" t="s">
        <v>933</v>
      </c>
      <c r="C936" t="str">
        <f>IFERROR(__xludf.DUMMYFUNCTION("GOOGLETRANSLATE(B936, ""fr"", ""en"")"),"A lot of basic shirt of good quality These shirts are quality cotton. They have not moved to washing, they do not deform and cotton remains soft. The cut is comfortable and well they hew .The seams and finishes are very satisfactory. The color is identica"&amp;"l pictures. Perfect for winter wear under a sweater. Ideal for sports, to wear when relaxing or home. A good price-performance ratio.")</f>
        <v>A lot of basic shirt of good quality These shirts are quality cotton. They have not moved to washing, they do not deform and cotton remains soft. The cut is comfortable and well they hew .The seams and finishes are very satisfactory. The color is identical pictures. Perfect for winter wear under a sweater. Ideal for sports, to wear when relaxing or home. A good price-performance ratio.</v>
      </c>
    </row>
    <row r="937">
      <c r="A937" s="1">
        <v>5.0</v>
      </c>
      <c r="B937" s="1" t="s">
        <v>934</v>
      </c>
      <c r="C937" t="str">
        <f>IFERROR(__xludf.DUMMYFUNCTION("GOOGLETRANSLATE(B937, ""fr"", ""en"")"),"Very well very well")</f>
        <v>Very well very well</v>
      </c>
    </row>
    <row r="938">
      <c r="A938" s="1">
        <v>5.0</v>
      </c>
      <c r="B938" s="1" t="s">
        <v>935</v>
      </c>
      <c r="C938" t="str">
        <f>IFERROR(__xludf.DUMMYFUNCTION("GOOGLETRANSLATE(B938, ""fr"", ""en"")"),"Heated mattress pad toppers 2 persons XXL This was purchased for a while. It is still functional despite the XXL size ..... I ordered by mistake .... so a bit too wide, but it does not interfere.")</f>
        <v>Heated mattress pad toppers 2 persons XXL This was purchased for a while. It is still functional despite the XXL size ..... I ordered by mistake .... so a bit too wide, but it does not interfere.</v>
      </c>
    </row>
    <row r="939">
      <c r="A939" s="1">
        <v>5.0</v>
      </c>
      <c r="B939" s="1" t="s">
        <v>936</v>
      </c>
      <c r="C939" t="str">
        <f>IFERROR(__xludf.DUMMYFUNCTION("GOOGLETRANSLATE(B939, ""fr"", ""en"")"),"Good perch Super boom that largely will taff on year (if your goal is to simply hold a microphone above your head) The rigging system (on the desktop) is very good. I advise all the same to put a lil piece of cardboard packaging to avoid scratches on a gl"&amp;"ass table for example (even if ca not scratch in true)")</f>
        <v>Good perch Super boom that largely will taff on year (if your goal is to simply hold a microphone above your head) The rigging system (on the desktop) is very good. I advise all the same to put a lil piece of cardboard packaging to avoid scratches on a glass table for example (even if ca not scratch in true)</v>
      </c>
    </row>
    <row r="940">
      <c r="A940" s="1">
        <v>5.0</v>
      </c>
      <c r="B940" s="1" t="s">
        <v>937</v>
      </c>
      <c r="C940" t="str">
        <f>IFERROR(__xludf.DUMMYFUNCTION("GOOGLETRANSLATE(B940, ""fr"", ""en"")"),"popolini protective sheet popolini protection sheets are very good, they do not tear dry or wet they remain robust. The length and width is sufficient for some cloth diapers or the dimensions of the layer and the child's age (tested with children from 6 m"&amp;"onths to 2 years). The format ""roll"" is quite economical. There is a system for cutting a sheet by a fairly effective sheet. The leaves are biodegradable and therefore pass into the toilet, very convenient, less waste and less coat odor. I highly recomm"&amp;"end this product!")</f>
        <v>popolini protective sheet popolini protection sheets are very good, they do not tear dry or wet they remain robust. The length and width is sufficient for some cloth diapers or the dimensions of the layer and the child's age (tested with children from 6 months to 2 years). The format "roll" is quite economical. There is a system for cutting a sheet by a fairly effective sheet. The leaves are biodegradable and therefore pass into the toilet, very convenient, less waste and less coat odor. I highly recommend this product!</v>
      </c>
    </row>
    <row r="941">
      <c r="A941" s="1">
        <v>2.0</v>
      </c>
      <c r="B941" s="1" t="s">
        <v>938</v>
      </c>
      <c r="C941" t="str">
        <f>IFERROR(__xludf.DUMMYFUNCTION("GOOGLETRANSLATE(B941, ""fr"", ""en"")"),"Please note there is no detachable base. In fact the kettle does not detach from the base. So to fill must carry around the base and electrical outlet each time.")</f>
        <v>Please note there is no detachable base. In fact the kettle does not detach from the base. So to fill must carry around the base and electrical outlet each time.</v>
      </c>
    </row>
    <row r="942">
      <c r="A942" s="1">
        <v>1.0</v>
      </c>
      <c r="B942" s="1" t="s">
        <v>939</v>
      </c>
      <c r="C942" t="str">
        <f>IFERROR(__xludf.DUMMYFUNCTION("GOOGLETRANSLATE(B942, ""fr"", ""en"")"),"Product Size bc fine too and very end no interest")</f>
        <v>Product Size bc fine too and very end no interest</v>
      </c>
    </row>
    <row r="943">
      <c r="A943" s="1">
        <v>1.0</v>
      </c>
      <c r="B943" s="1" t="s">
        <v>940</v>
      </c>
      <c r="C943" t="str">
        <f>IFERROR(__xludf.DUMMYFUNCTION("GOOGLETRANSLATE(B943, ""fr"", ""en"")"),"Product Failure Good evening, I buy this product there is 1 month, except that there is a leak and I can not serve me, I often order on Amazon but this quality level is not good product, how pourais I do to make walking warranty. It really is zero, for th"&amp;"e Amazon site how your warranty? There must help me thank you")</f>
        <v>Product Failure Good evening, I buy this product there is 1 month, except that there is a leak and I can not serve me, I often order on Amazon but this quality level is not good product, how pourais I do to make walking warranty. It really is zero, for the Amazon site how your warranty? There must help me thank you</v>
      </c>
    </row>
    <row r="944">
      <c r="A944" s="1">
        <v>3.0</v>
      </c>
      <c r="B944" s="1" t="s">
        <v>941</v>
      </c>
      <c r="C944" t="str">
        <f>IFERROR(__xludf.DUMMYFUNCTION("GOOGLETRANSLATE(B944, ""fr"", ""en"")"),"PROBLEM OF TOILET PAPER THICKNESS THE CLOVER Hello Yesterday I opened the new package of toilet paper nothing to do with the previous packages identical width, but the thickness to completely missing a piece of paper with no more cigarette. The new paper "&amp;"is very fragile. 5 sheets before use now 9 and it's not OK. I am very disappointed even if not as toilet paper ... !!! Greetings Good Day MTB")</f>
        <v>PROBLEM OF TOILET PAPER THICKNESS THE CLOVER Hello Yesterday I opened the new package of toilet paper nothing to do with the previous packages identical width, but the thickness to completely missing a piece of paper with no more cigarette. The new paper is very fragile. 5 sheets before use now 9 and it's not OK. I am very disappointed even if not as toilet paper ... !!! Greetings Good Day MTB</v>
      </c>
    </row>
    <row r="945">
      <c r="A945" s="1">
        <v>3.0</v>
      </c>
      <c r="B945" s="1" t="s">
        <v>942</v>
      </c>
      <c r="C945" t="str">
        <f>IFERROR(__xludf.DUMMYFUNCTION("GOOGLETRANSLATE(B945, ""fr"", ""en"")"),"telecomande too heavy because the remote control + and - is too big")</f>
        <v>telecomande too heavy because the remote control + and - is too big</v>
      </c>
    </row>
    <row r="946">
      <c r="A946" s="1">
        <v>4.0</v>
      </c>
      <c r="B946" s="1" t="s">
        <v>943</v>
      </c>
      <c r="C946" t="str">
        <f>IFERROR(__xludf.DUMMYFUNCTION("GOOGLETRANSLATE(B946, ""fr"", ""en"")"),"Comfortable Delivery respected and arrival of the package in good condition! Tried on, they are well cut, comfortable, warm and perfectly faithful to the photos. The size 38 socks with suits me perfectly, but that pretty, I think they do a big walk !! to "&amp;"see how they fit in time and if the waterproofing will be real! I expect the red;)")</f>
        <v>Comfortable Delivery respected and arrival of the package in good condition! Tried on, they are well cut, comfortable, warm and perfectly faithful to the photos. The size 38 socks with suits me perfectly, but that pretty, I think they do a big walk !! to see how they fit in time and if the waterproofing will be real! I expect the red;)</v>
      </c>
    </row>
    <row r="947">
      <c r="A947" s="1">
        <v>4.0</v>
      </c>
      <c r="B947" s="1" t="s">
        <v>944</v>
      </c>
      <c r="C947" t="str">
        <f>IFERROR(__xludf.DUMMYFUNCTION("GOOGLETRANSLATE(B947, ""fr"", ""en"")"),"Well Well nothing to say Good value")</f>
        <v>Well Well nothing to say Good value</v>
      </c>
    </row>
    <row r="948">
      <c r="A948" s="1">
        <v>4.0</v>
      </c>
      <c r="B948" s="1" t="s">
        <v>945</v>
      </c>
      <c r="C948" t="str">
        <f>IFERROR(__xludf.DUMMYFUNCTION("GOOGLETRANSLATE(B948, ""fr"", ""en"")"),"There's more that to wait for the snow very robust mounting under a more toned look, these boots trying me for years ended up joining my shoes parking. Among the others, and in a fairly large size, they require a bit, which is why I take a star. Their rig"&amp;"htful place is immaculate white space, and then they will be on the right scale. Removable Interior lacing very easy, I recommend. If you can try before you buy, it will be perfect!")</f>
        <v>There's more that to wait for the snow very robust mounting under a more toned look, these boots trying me for years ended up joining my shoes parking. Among the others, and in a fairly large size, they require a bit, which is why I take a star. Their rightful place is immaculate white space, and then they will be on the right scale. Removable Interior lacing very easy, I recommend. If you can try before you buy, it will be perfect!</v>
      </c>
    </row>
    <row r="949">
      <c r="A949" s="1">
        <v>4.0</v>
      </c>
      <c r="B949" s="1" t="s">
        <v>946</v>
      </c>
      <c r="C949" t="str">
        <f>IFERROR(__xludf.DUMMYFUNCTION("GOOGLETRANSLATE(B949, ""fr"", ""en"")"),"Very good helmet, comfortable, good record audio. My Sennheiser HD280 has passed away, I shopped his replacement. I turned, after careful consideration and without ever having listened in stores towards the AKG K712 Pro, for several reasons: it is one of "&amp;"the few headsets still be manufactured in Europe (AKG no longer manufactures this model on the old continent, the rest is made in China), it is best noted in its category (open helmet) and stayed within my budget (the top of top of my budget for audi helm"&amp;"et (motorcycle, it is still more expensive :-) ). Most of this helmet: a very good record audio, loyal and neutral in restitution songs (attention to the quality of your source, a bad MP3 you frustera the possible, as well as online music medium quality)."&amp;" According to critics and other experts audiophile headphones have been improved in the low frequencies; I can not confirm or deny you, but compared to my old HD280, I find it the same quality (or default for others): it does not present too low. Amateurs"&amp;" low, it should make a +1 button on your amp (but as I get older, my ear will never be yours). Details on jazz pieces is remarkable in live scenes I think they lack a bit of depth, compared to my audio speakers ( ""old 'Cabasse). As for listening comfort,"&amp;" the well pads fit on the ear, they isolate themselves from the outside world enough without you cut, and in winter you include a gentle feeling of warmth. in the summer, after 2 hours, cool break is needed. the maintenance is very good, no discomfort fel"&amp;"t either on the top of the head or ears. No bad feeling of compression. in short, very comfortable helmet. Last thing, the cord of the headphones can be unscrewed, and comes with a screw jack adapter too. so, if your cat is like mine fan cords and he spen"&amp;"ds his time the tuck, do not panic, your beautiful AKG always work, you will just buy the cord. In summary, if you have the budget, do not hesitate.")</f>
        <v>Very good helmet, comfortable, good record audio. My Sennheiser HD280 has passed away, I shopped his replacement. I turned, after careful consideration and without ever having listened in stores towards the AKG K712 Pro, for several reasons: it is one of the few headsets still be manufactured in Europe (AKG no longer manufactures this model on the old continent, the rest is made in China), it is best noted in its category (open helmet) and stayed within my budget (the top of top of my budget for audi helmet (motorcycle, it is still more expensive :-) ). Most of this helmet: a very good record audio, loyal and neutral in restitution songs (attention to the quality of your source, a bad MP3 you frustera the possible, as well as online music medium quality). According to critics and other experts audiophile headphones have been improved in the low frequencies; I can not confirm or deny you, but compared to my old HD280, I find it the same quality (or default for others): it does not present too low. Amateurs low, it should make a +1 button on your amp (but as I get older, my ear will never be yours). Details on jazz pieces is remarkable in live scenes I think they lack a bit of depth, compared to my audio speakers ( "old 'Cabasse). As for listening comfort, the well pads fit on the ear, they isolate themselves from the outside world enough without you cut, and in winter you include a gentle feeling of warmth. in the summer, after 2 hours, cool break is needed. the maintenance is very good, no discomfort felt either on the top of the head or ears. No bad feeling of compression. in short, very comfortable helmet. Last thing, the cord of the headphones can be unscrewed, and comes with a screw jack adapter too. so, if your cat is like mine fan cords and he spends his time the tuck, do not panic, your beautiful AKG always work, you will just buy the cord. In summary, if you have the budget, do not hesitate.</v>
      </c>
    </row>
    <row r="950">
      <c r="A950" s="1">
        <v>5.0</v>
      </c>
      <c r="B950" s="1" t="s">
        <v>947</v>
      </c>
      <c r="C950" t="str">
        <f>IFERROR(__xludf.DUMMYFUNCTION("GOOGLETRANSLATE(B950, ""fr"", ""en"")"),"Very good Excellent product, good size I make a top 40 and I took M color, and material value for money suits me")</f>
        <v>Very good Excellent product, good size I make a top 40 and I took M color, and material value for money suits me</v>
      </c>
    </row>
    <row r="951">
      <c r="A951" s="1">
        <v>5.0</v>
      </c>
      <c r="B951" s="1" t="s">
        <v>948</v>
      </c>
      <c r="C951" t="str">
        <f>IFERROR(__xludf.DUMMYFUNCTION("GOOGLETRANSLATE(B951, ""fr"", ""en"")"),"Very practical large capacity and strong for now for my husband")</f>
        <v>Very practical large capacity and strong for now for my husband</v>
      </c>
    </row>
    <row r="952">
      <c r="A952" s="1">
        <v>5.0</v>
      </c>
      <c r="B952" s="1" t="s">
        <v>949</v>
      </c>
      <c r="C952" t="str">
        <f>IFERROR(__xludf.DUMMYFUNCTION("GOOGLETRANSLATE(B952, ""fr"", ""en"")"),"No matter Perfect")</f>
        <v>No matter Perfect</v>
      </c>
    </row>
    <row r="953">
      <c r="A953" s="1">
        <v>5.0</v>
      </c>
      <c r="B953" s="1" t="s">
        <v>950</v>
      </c>
      <c r="C953" t="str">
        <f>IFERROR(__xludf.DUMMYFUNCTION("GOOGLETRANSLATE(B953, ""fr"", ""en"")"),"perfect original cartridge so perfect nothing to blame just one pays the brand puts both be better")</f>
        <v>perfect original cartridge so perfect nothing to blame just one pays the brand puts both be better</v>
      </c>
    </row>
    <row r="954">
      <c r="A954" s="1">
        <v>5.0</v>
      </c>
      <c r="B954" s="1" t="s">
        <v>951</v>
      </c>
      <c r="C954" t="str">
        <f>IFERROR(__xludf.DUMMYFUNCTION("GOOGLETRANSLATE(B954, ""fr"", ""en"")"),"Lovely bracelet The package arrived well packaged. Pretty silver bracelet good. There are two charms. One is a nice tree of life and the other is a shiny Swarovski. The bracelet is beautifully finished, well polished. I found the elegant, fine and has bot"&amp;"h solid. It is easily adjustable to the size of his wrist. It could make a nice gift but I keep it to myself 😊")</f>
        <v>Lovely bracelet The package arrived well packaged. Pretty silver bracelet good. There are two charms. One is a nice tree of life and the other is a shiny Swarovski. The bracelet is beautifully finished, well polished. I found the elegant, fine and has both solid. It is easily adjustable to the size of his wrist. It could make a nice gift but I keep it to myself 😊</v>
      </c>
    </row>
    <row r="955">
      <c r="A955" s="1">
        <v>5.0</v>
      </c>
      <c r="B955" s="1" t="s">
        <v>952</v>
      </c>
      <c r="C955" t="str">
        <f>IFERROR(__xludf.DUMMYFUNCTION("GOOGLETRANSLATE(B955, ""fr"", ""en"")"),"The warm color slippers slippers and original (for a boy) and the fact that the neck is not very high we can best put on and it was so hot feet. Seem to be resistant.")</f>
        <v>The warm color slippers slippers and original (for a boy) and the fact that the neck is not very high we can best put on and it was so hot feet. Seem to be resistant.</v>
      </c>
    </row>
    <row r="956">
      <c r="A956" s="1">
        <v>5.0</v>
      </c>
      <c r="B956" s="1" t="s">
        <v>953</v>
      </c>
      <c r="C956" t="str">
        <f>IFERROR(__xludf.DUMMYFUNCTION("GOOGLETRANSLATE(B956, ""fr"", ""en"")"),"Compete buy top top top nothing to say")</f>
        <v>Compete buy top top top nothing to say</v>
      </c>
    </row>
    <row r="957">
      <c r="A957" s="1">
        <v>5.0</v>
      </c>
      <c r="B957" s="1" t="s">
        <v>954</v>
      </c>
      <c r="C957" t="str">
        <f>IFERROR(__xludf.DUMMYFUNCTION("GOOGLETRANSLATE(B957, ""fr"", ""en"")"),"Perfect gift I bought for my son 4 &amp; nbsp; years. He loves to sing and talk with the microphone and echo. I like him aussi.Il easy to use and the sound effect is not bad. That's why I'll buy one for my niece. The customer service is great. Thank you")</f>
        <v>Perfect gift I bought for my son 4 &amp; nbsp; years. He loves to sing and talk with the microphone and echo. I like him aussi.Il easy to use and the sound effect is not bad. That's why I'll buy one for my niece. The customer service is great. Thank you</v>
      </c>
    </row>
    <row r="958">
      <c r="A958" s="1">
        <v>5.0</v>
      </c>
      <c r="B958" s="1" t="s">
        <v>955</v>
      </c>
      <c r="C958" t="str">
        <f>IFERROR(__xludf.DUMMYFUNCTION("GOOGLETRANSLATE(B958, ""fr"", ""en"")"),"Great bracelets are of size M, too big for me. So, I had to reduce them, and it's quite difficult. Given that there are sizes, it would have been nice to have the choice. Apart from that, they are perfect, the stones are beautiful. I know say the effects.")</f>
        <v>Great bracelets are of size M, too big for me. So, I had to reduce them, and it's quite difficult. Given that there are sizes, it would have been nice to have the choice. Apart from that, they are perfect, the stones are beautiful. I know say the effects.</v>
      </c>
    </row>
    <row r="959">
      <c r="A959" s="1">
        <v>5.0</v>
      </c>
      <c r="B959" s="1" t="s">
        <v>956</v>
      </c>
      <c r="C959" t="str">
        <f>IFERROR(__xludf.DUMMYFUNCTION("GOOGLETRANSLATE(B959, ""fr"", ""en"")"),"Given a bargain price let live is an excellent deal. Scotch good. At take-off the adhesive remains on the tape and does not pollute the taped portion. Very discreet as well translucent and holds very well in place. A good product.")</f>
        <v>Given a bargain price let live is an excellent deal. Scotch good. At take-off the adhesive remains on the tape and does not pollute the taped portion. Very discreet as well translucent and holds very well in place. A good product.</v>
      </c>
    </row>
    <row r="960">
      <c r="A960" s="1">
        <v>5.0</v>
      </c>
      <c r="B960" s="1" t="s">
        <v>957</v>
      </c>
      <c r="C960" t="str">
        <f>IFERROR(__xludf.DUMMYFUNCTION("GOOGLETRANSLATE(B960, ""fr"", ""en"")"),"Elegance and class style pouch, fine quality.")</f>
        <v>Elegance and class style pouch, fine quality.</v>
      </c>
    </row>
    <row r="961">
      <c r="A961" s="1">
        <v>5.0</v>
      </c>
      <c r="B961" s="1" t="s">
        <v>958</v>
      </c>
      <c r="C961" t="str">
        <f>IFERROR(__xludf.DUMMYFUNCTION("GOOGLETRANSLATE(B961, ""fr"", ""en"")"),"Meets Warm and comfortable description, in line with my expectations, slightly larger size")</f>
        <v>Meets Warm and comfortable description, in line with my expectations, slightly larger size</v>
      </c>
    </row>
    <row r="962">
      <c r="A962" s="1">
        <v>5.0</v>
      </c>
      <c r="B962" s="1" t="s">
        <v>959</v>
      </c>
      <c r="C962" t="str">
        <f>IFERROR(__xludf.DUMMYFUNCTION("GOOGLETRANSLATE(B962, ""fr"", ""en"")"),"Super bottle I find this bottle is great and I recommend tale")</f>
        <v>Super bottle I find this bottle is great and I recommend tale</v>
      </c>
    </row>
    <row r="963">
      <c r="A963" s="1">
        <v>5.0</v>
      </c>
      <c r="B963" s="1" t="s">
        <v>960</v>
      </c>
      <c r="C963" t="str">
        <f>IFERROR(__xludf.DUMMYFUNCTION("GOOGLETRANSLATE(B963, ""fr"", ""en"")"),"Perfect Very nice necklace")</f>
        <v>Perfect Very nice necklace</v>
      </c>
    </row>
    <row r="964">
      <c r="A964" s="1">
        <v>5.0</v>
      </c>
      <c r="B964" s="1" t="s">
        <v>961</v>
      </c>
      <c r="C964" t="str">
        <f>IFERROR(__xludf.DUMMYFUNCTION("GOOGLETRANSLATE(B964, ""fr"", ""en"")"),"I was looking for a perfect support for tablet 15.6 ""my daughter, and this laptop pc support made totally good job !!! positioning angle is adjustable and stable, the 2 small front rims are like the Metal rest of the support and are covered with small so"&amp;"ft inserts to accommodate your pc or tablet gently and keep it from slipping. a lead organizer was clipped to the back of the support it is more practical to put here but is .... and frankly for the price no hesitation in. the weight of the support nikel "&amp;"as neither too heavy nor too slight Camelott here not at all ..... so flush, nikel, perfect.")</f>
        <v>I was looking for a perfect support for tablet 15.6 "my daughter, and this laptop pc support made totally good job !!! positioning angle is adjustable and stable, the 2 small front rims are like the Metal rest of the support and are covered with small soft inserts to accommodate your pc or tablet gently and keep it from slipping. a lead organizer was clipped to the back of the support it is more practical to put here but is .... and frankly for the price no hesitation in. the weight of the support nikel as neither too heavy nor too slight Camelott here not at all ..... so flush, nikel, perfect.</v>
      </c>
    </row>
    <row r="965">
      <c r="A965" s="1">
        <v>2.0</v>
      </c>
      <c r="B965" s="1" t="s">
        <v>962</v>
      </c>
      <c r="C965" t="str">
        <f>IFERROR(__xludf.DUMMYFUNCTION("GOOGLETRANSLATE(B965, ""fr"", ""en"")"),"Disappointed uncomfortable Safety shoes always disappointed feet hurt")</f>
        <v>Disappointed uncomfortable Safety shoes always disappointed feet hurt</v>
      </c>
    </row>
    <row r="966">
      <c r="A966" s="1">
        <v>1.0</v>
      </c>
      <c r="B966" s="1" t="s">
        <v>963</v>
      </c>
      <c r="C966" t="str">
        <f>IFERROR(__xludf.DUMMYFUNCTION("GOOGLETRANSLATE(B966, ""fr"", ""en"")"),"Better to have two left feet! Received 2 left feet")</f>
        <v>Better to have two left feet! Received 2 left feet</v>
      </c>
    </row>
    <row r="967">
      <c r="A967" s="1">
        <v>1.0</v>
      </c>
      <c r="B967" s="1" t="s">
        <v>964</v>
      </c>
      <c r="C967" t="str">
        <f>IFERROR(__xludf.DUMMYFUNCTION("GOOGLETRANSLATE(B967, ""fr"", ""en"")"),"safety shoe I am very top product quality usu a fast sole and fabric top that dechi also and above all no answer from the seller of this concern I am angry can")</f>
        <v>safety shoe I am very top product quality usu a fast sole and fabric top that dechi also and above all no answer from the seller of this concern I am angry can</v>
      </c>
    </row>
    <row r="968">
      <c r="A968" s="1">
        <v>3.0</v>
      </c>
      <c r="B968" s="1" t="s">
        <v>965</v>
      </c>
      <c r="C968" t="str">
        <f>IFERROR(__xludf.DUMMYFUNCTION("GOOGLETRANSLATE(B968, ""fr"", ""en"")"),"a bit difficult to use the form is too elongated suddenly it is not easy to use. The product is of good quality but it was inconclusive.")</f>
        <v>a bit difficult to use the form is too elongated suddenly it is not easy to use. The product is of good quality but it was inconclusive.</v>
      </c>
    </row>
    <row r="969">
      <c r="A969" s="1">
        <v>4.0</v>
      </c>
      <c r="B969" s="1" t="s">
        <v>966</v>
      </c>
      <c r="C969" t="str">
        <f>IFERROR(__xludf.DUMMYFUNCTION("GOOGLETRANSLATE(B969, ""fr"", ""en"")"),"Bose quality appointments These headphones are a marvel, must still be fond of the Bose sound, which is my case. The pros: - Sound Quality. - Comfort headphones Stay-Ear. - Light of the whole. - easy configuration. - Décallage audio / video barely noticea"&amp;"ble (to me) when using while playing video files. The -: - The life of the battery that holds only +/- 5-6 hours. A shame. - The inability to use while charging the battery.")</f>
        <v>Bose quality appointments These headphones are a marvel, must still be fond of the Bose sound, which is my case. The pros: - Sound Quality. - Comfort headphones Stay-Ear. - Light of the whole. - easy configuration. - Décallage audio / video barely noticeable (to me) when using while playing video files. The -: - The life of the battery that holds only +/- 5-6 hours. A shame. - The inability to use while charging the battery.</v>
      </c>
    </row>
    <row r="970">
      <c r="A970" s="1">
        <v>4.0</v>
      </c>
      <c r="B970" s="1" t="s">
        <v>967</v>
      </c>
      <c r="C970" t="str">
        <f>IFERROR(__xludf.DUMMYFUNCTION("GOOGLETRANSLATE(B970, ""fr"", ""en"")"),"Very nice but beware of allergies Very pretty but make me hang because of allergies and a bit heavy. Warning for sensitive people ears")</f>
        <v>Very nice but beware of allergies Very pretty but make me hang because of allergies and a bit heavy. Warning for sensitive people ears</v>
      </c>
    </row>
    <row r="971">
      <c r="A971" s="1">
        <v>4.0</v>
      </c>
      <c r="B971" s="1" t="s">
        <v>968</v>
      </c>
      <c r="C971" t="str">
        <f>IFERROR(__xludf.DUMMYFUNCTION("GOOGLETRANSLATE(B971, ""fr"", ""en"")"),"Good value It's been almost a month since I l used to listen to music and I am happy with the quality is by appointment I have put 4 stars by this that there are better surtt the bass level. I rarely use the kit free hand maisbj have noticed that my inter"&amp;"locutors m not hear well. Another thing is that if c unloading can continue to play with the cable provided except that the sound is not at all the same quality is poor.")</f>
        <v>Good value It's been almost a month since I l used to listen to music and I am happy with the quality is by appointment I have put 4 stars by this that there are better surtt the bass level. I rarely use the kit free hand maisbj have noticed that my interlocutors m not hear well. Another thing is that if c unloading can continue to play with the cable provided except that the sound is not at all the same quality is poor.</v>
      </c>
    </row>
    <row r="972">
      <c r="A972" s="1">
        <v>4.0</v>
      </c>
      <c r="B972" s="1" t="s">
        <v>969</v>
      </c>
      <c r="C972" t="str">
        <f>IFERROR(__xludf.DUMMYFUNCTION("GOOGLETRANSLATE(B972, ""fr"", ""en"")"),"compliant compliant")</f>
        <v>compliant compliant</v>
      </c>
    </row>
    <row r="973">
      <c r="A973" s="1">
        <v>5.0</v>
      </c>
      <c r="B973" s="1" t="s">
        <v>970</v>
      </c>
      <c r="C973" t="str">
        <f>IFERROR(__xludf.DUMMYFUNCTION("GOOGLETRANSLATE(B973, ""fr"", ""en"")"),"Super essential to accessorize the drainer in bottles of the same brand. My daughter uses the MAM Anti-Colic bottles and I suspends the Anti-Colic valves. Perfect")</f>
        <v>Super essential to accessorize the drainer in bottles of the same brand. My daughter uses the MAM Anti-Colic bottles and I suspends the Anti-Colic valves. Perfect</v>
      </c>
    </row>
    <row r="974">
      <c r="A974" s="1">
        <v>5.0</v>
      </c>
      <c r="B974" s="1" t="s">
        <v>971</v>
      </c>
      <c r="C974" t="str">
        <f>IFERROR(__xludf.DUMMYFUNCTION("GOOGLETRANSLATE(B974, ""fr"", ""en"")"),"the very good little heavy a shoe can be tough in the beginning for some, very comfortable, beware the cat ca shoes big enough to take 1 size smaller")</f>
        <v>the very good little heavy a shoe can be tough in the beginning for some, very comfortable, beware the cat ca shoes big enough to take 1 size smaller</v>
      </c>
    </row>
    <row r="975">
      <c r="A975" s="1">
        <v>5.0</v>
      </c>
      <c r="B975" s="1" t="s">
        <v>972</v>
      </c>
      <c r="C975" t="str">
        <f>IFERROR(__xludf.DUMMYFUNCTION("GOOGLETRANSLATE(B975, ""fr"", ""en"")"),"Nothing to say, it is beautiful! Very happy!")</f>
        <v>Nothing to say, it is beautiful! Very happy!</v>
      </c>
    </row>
    <row r="976">
      <c r="A976" s="1">
        <v>5.0</v>
      </c>
      <c r="B976" s="1" t="s">
        <v>973</v>
      </c>
      <c r="C976" t="str">
        <f>IFERROR(__xludf.DUMMYFUNCTION("GOOGLETRANSLATE(B976, ""fr"", ""en"")"),"Good stability. Hello, As I did before, reading in bed, this lamp also allows me. I was surprised by the very small size of the power adapter. Good stability. Satisfied with my previous purchase, I bought again for this office.")</f>
        <v>Good stability. Hello, As I did before, reading in bed, this lamp also allows me. I was surprised by the very small size of the power adapter. Good stability. Satisfied with my previous purchase, I bought again for this office.</v>
      </c>
    </row>
    <row r="977">
      <c r="A977" s="1">
        <v>5.0</v>
      </c>
      <c r="B977" s="1" t="s">
        <v>974</v>
      </c>
      <c r="C977" t="str">
        <f>IFERROR(__xludf.DUMMYFUNCTION("GOOGLETRANSLATE(B977, ""fr"", ""en"")"),"Super Stack as image")</f>
        <v>Super Stack as image</v>
      </c>
    </row>
    <row r="978">
      <c r="A978" s="1">
        <v>5.0</v>
      </c>
      <c r="B978" s="1" t="s">
        <v>975</v>
      </c>
      <c r="C978" t="str">
        <f>IFERROR(__xludf.DUMMYFUNCTION("GOOGLETRANSLATE(B978, ""fr"", ""en"")"),"Conforms I took my usual size, it's perfect. very comfortable and beautiful shoes. I walk the fine and in general it's hard to find tight and comfortable shoes. But here for once this is perfect.")</f>
        <v>Conforms I took my usual size, it's perfect. very comfortable and beautiful shoes. I walk the fine and in general it's hard to find tight and comfortable shoes. But here for once this is perfect.</v>
      </c>
    </row>
    <row r="979">
      <c r="A979" s="1">
        <v>5.0</v>
      </c>
      <c r="B979" s="1" t="s">
        <v>976</v>
      </c>
      <c r="C979" t="str">
        <f>IFERROR(__xludf.DUMMYFUNCTION("GOOGLETRANSLATE(B979, ""fr"", ""en"")"),"Awesome Too happy to hear my old vinyl crackle .... Awesome!")</f>
        <v>Awesome Too happy to hear my old vinyl crackle .... Awesome!</v>
      </c>
    </row>
    <row r="980">
      <c r="A980" s="1">
        <v>5.0</v>
      </c>
      <c r="B980" s="1" t="s">
        <v>977</v>
      </c>
      <c r="C980" t="str">
        <f>IFERROR(__xludf.DUMMYFUNCTION("GOOGLETRANSLATE(B980, ""fr"", ""en"")"),"Class If I have to sum up: ""They are your vans nice, I like the color."" There, all is said. Otherwise level size I took my usual 41. Comfortable, true to M Atwood.")</f>
        <v>Class If I have to sum up: "They are your vans nice, I like the color." There, all is said. Otherwise level size I took my usual 41. Comfortable, true to M Atwood.</v>
      </c>
    </row>
    <row r="981">
      <c r="A981" s="1">
        <v>5.0</v>
      </c>
      <c r="B981" s="1" t="s">
        <v>978</v>
      </c>
      <c r="C981" t="str">
        <f>IFERROR(__xludf.DUMMYFUNCTION("GOOGLETRANSLATE(B981, ""fr"", ""en"")"),"wonderful what comfort !!")</f>
        <v>wonderful what comfort !!</v>
      </c>
    </row>
    <row r="982">
      <c r="A982" s="1">
        <v>5.0</v>
      </c>
      <c r="B982" s="1" t="s">
        <v>979</v>
      </c>
      <c r="C982" t="str">
        <f>IFERROR(__xludf.DUMMYFUNCTION("GOOGLETRANSLATE(B982, ""fr"", ""en"")"),"Really comfortable Caught in size M for waist circumference 31-32 any worries. It is tight on the calves as in the photo, but ample stays up really great.")</f>
        <v>Really comfortable Caught in size M for waist circumference 31-32 any worries. It is tight on the calves as in the photo, but ample stays up really great.</v>
      </c>
    </row>
    <row r="983">
      <c r="A983" s="1">
        <v>5.0</v>
      </c>
      <c r="B983" s="1" t="s">
        <v>980</v>
      </c>
      <c r="C983" t="str">
        <f>IFERROR(__xludf.DUMMYFUNCTION("GOOGLETRANSLATE(B983, ""fr"", ""en"")"),"Too beautiful ! Compliant product  !")</f>
        <v>Too beautiful ! Compliant product  !</v>
      </c>
    </row>
    <row r="984">
      <c r="A984" s="1">
        <v>5.0</v>
      </c>
      <c r="B984" s="1" t="s">
        <v>981</v>
      </c>
      <c r="C984" t="str">
        <f>IFERROR(__xludf.DUMMYFUNCTION("GOOGLETRANSLATE(B984, ""fr"", ""en"")"),"Super conforms to the photo Very good value, great mild to wear very original beautiful color I take the gray next time thank you")</f>
        <v>Super conforms to the photo Very good value, great mild to wear very original beautiful color I take the gray next time thank you</v>
      </c>
    </row>
    <row r="985">
      <c r="A985" s="1">
        <v>5.0</v>
      </c>
      <c r="B985" s="1" t="s">
        <v>982</v>
      </c>
      <c r="C985" t="str">
        <f>IFERROR(__xludf.DUMMYFUNCTION("GOOGLETRANSLATE(B985, ""fr"", ""en"")"),"Very good product Product conforms to the Enough big picture to cram a lot are small things and comfortable to wear")</f>
        <v>Very good product Product conforms to the Enough big picture to cram a lot are small things and comfortable to wear</v>
      </c>
    </row>
    <row r="986">
      <c r="A986" s="1">
        <v>5.0</v>
      </c>
      <c r="B986" s="1" t="s">
        <v>983</v>
      </c>
      <c r="C986" t="str">
        <f>IFERROR(__xludf.DUMMYFUNCTION("GOOGLETRANSLATE(B986, ""fr"", ""en"")"),"Watch old Retro look like the 80s.")</f>
        <v>Watch old Retro look like the 80s.</v>
      </c>
    </row>
    <row r="987">
      <c r="A987" s="1">
        <v>5.0</v>
      </c>
      <c r="B987" s="1" t="s">
        <v>984</v>
      </c>
      <c r="C987" t="str">
        <f>IFERROR(__xludf.DUMMYFUNCTION("GOOGLETRANSLATE(B987, ""fr"", ""en"")"),"Okay Nothing to say great. Very moisturizer I use to make the ride feel his chaaaaaauffe effective. Good!! to use on the body the evening before sleeping preference.")</f>
        <v>Okay Nothing to say great. Very moisturizer I use to make the ride feel his chaaaaaauffe effective. Good!! to use on the body the evening before sleeping preference.</v>
      </c>
    </row>
    <row r="988">
      <c r="A988" s="1">
        <v>2.0</v>
      </c>
      <c r="B988" s="1" t="s">
        <v>985</v>
      </c>
      <c r="C988" t="str">
        <f>IFERROR(__xludf.DUMMYFUNCTION("GOOGLETRANSLATE(B988, ""fr"", ""en"")"),"Disappointed After one week of a washer lace s detached. They quickly deform and expand s. The color of ""&amp; nbsp; leather-Plastic &amp; nbsp;"" is not the same as the laces and sole, which makes them more beige or yellowed. The material is more plastic than l"&amp;"eather, which increases sweating. For the price, I m not expecting upscale but sometimes the price is not high quality, I tried and I got stuck!")</f>
        <v>Disappointed After one week of a washer lace s detached. They quickly deform and expand s. The color of "&amp; nbsp; leather-Plastic &amp; nbsp;" is not the same as the laces and sole, which makes them more beige or yellowed. The material is more plastic than leather, which increases sweating. For the price, I m not expecting upscale but sometimes the price is not high quality, I tried and I got stuck!</v>
      </c>
    </row>
    <row r="989">
      <c r="A989" s="1">
        <v>1.0</v>
      </c>
      <c r="B989" s="1" t="s">
        <v>986</v>
      </c>
      <c r="C989" t="str">
        <f>IFERROR(__xludf.DUMMYFUNCTION("GOOGLETRANSLATE(B989, ""fr"", ""en"")"),"Disappointed Not tough at all! disreputable")</f>
        <v>Disappointed Not tough at all! disreputable</v>
      </c>
    </row>
    <row r="990">
      <c r="A990" s="1">
        <v>3.0</v>
      </c>
      <c r="B990" s="1" t="s">
        <v>987</v>
      </c>
      <c r="C990" t="str">
        <f>IFERROR(__xludf.DUMMYFUNCTION("GOOGLETRANSLATE(B990, ""fr"", ""en"")"),"Correct Support yes throat but no sport. The maintenance is not suitable for sports movements such as running, jumping, etc ... However good support for off sport. It's comfortable. Remains to be seen with time and washing.")</f>
        <v>Correct Support yes throat but no sport. The maintenance is not suitable for sports movements such as running, jumping, etc ... However good support for off sport. It's comfortable. Remains to be seen with time and washing.</v>
      </c>
    </row>
    <row r="991">
      <c r="A991" s="1">
        <v>3.0</v>
      </c>
      <c r="B991" s="1" t="s">
        <v>988</v>
      </c>
      <c r="C991" t="str">
        <f>IFERROR(__xludf.DUMMYFUNCTION("GOOGLETRANSLATE(B991, ""fr"", ""en"")"),"notice well but much, much, much, much, much, much, much too expensive. Price deterrent that grows to purchase generic cartridges.")</f>
        <v>notice well but much, much, much, much, much, much, much too expensive. Price deterrent that grows to purchase generic cartridges.</v>
      </c>
    </row>
    <row r="992">
      <c r="A992" s="1">
        <v>4.0</v>
      </c>
      <c r="B992" s="1" t="s">
        <v>989</v>
      </c>
      <c r="C992" t="str">
        <f>IFERROR(__xludf.DUMMYFUNCTION("GOOGLETRANSLATE(B992, ""fr"", ""en"")"),"Polar pretty sleazy size as expected rather larger than smaller, to use as a pull out under a hooded coat.")</f>
        <v>Polar pretty sleazy size as expected rather larger than smaller, to use as a pull out under a hooded coat.</v>
      </c>
    </row>
    <row r="993">
      <c r="A993" s="1">
        <v>4.0</v>
      </c>
      <c r="B993" s="1" t="s">
        <v>990</v>
      </c>
      <c r="C993" t="str">
        <f>IFERROR(__xludf.DUMMYFUNCTION("GOOGLETRANSLATE(B993, ""fr"", ""en"")"),"Comfortable and well cut I do not know if it is shoes that are more comfortable, but use ls first I soon felt cramps under the feet ... as if the sole forcing the foot arch. What to see in the long run!")</f>
        <v>Comfortable and well cut I do not know if it is shoes that are more comfortable, but use ls first I soon felt cramps under the feet ... as if the sole forcing the foot arch. What to see in the long run!</v>
      </c>
    </row>
    <row r="994">
      <c r="A994" s="1">
        <v>4.0</v>
      </c>
      <c r="B994" s="1" t="s">
        <v>991</v>
      </c>
      <c r="C994" t="str">
        <f>IFERROR(__xludf.DUMMYFUNCTION("GOOGLETRANSLATE(B994, ""fr"", ""en"")"),"Very Good Very nice ring, good quality for the price! But beware it is thick enough and hard blow to adjust but otherwise great value!")</f>
        <v>Very Good Very nice ring, good quality for the price! But beware it is thick enough and hard blow to adjust but otherwise great value!</v>
      </c>
    </row>
    <row r="995">
      <c r="A995" s="1">
        <v>4.0</v>
      </c>
      <c r="B995" s="1" t="s">
        <v>992</v>
      </c>
      <c r="C995" t="str">
        <f>IFERROR(__xludf.DUMMYFUNCTION("GOOGLETRANSLATE(B995, ""fr"", ""en"")"),"About toaster toaster Very nice and works well. I had a problem with the first .. But as usual the day that I communicated to Amazon they contacted me and no problems have forwarded me one within four days against the back at their expense faulty toaster."&amp;" I recommend this product . (Beautiful red color consistent with the picture)")</f>
        <v>About toaster toaster Very nice and works well. I had a problem with the first .. But as usual the day that I communicated to Amazon they contacted me and no problems have forwarded me one within four days against the back at their expense faulty toaster. I recommend this product . (Beautiful red color consistent with the picture)</v>
      </c>
    </row>
    <row r="996">
      <c r="A996" s="1">
        <v>5.0</v>
      </c>
      <c r="B996" s="1" t="s">
        <v>993</v>
      </c>
      <c r="C996" t="str">
        <f>IFERROR(__xludf.DUMMYFUNCTION("GOOGLETRANSLATE(B996, ""fr"", ""en"")"),"Top Great product 👍👍👍")</f>
        <v>Top Great product 👍👍👍</v>
      </c>
    </row>
    <row r="997">
      <c r="A997" s="1">
        <v>5.0</v>
      </c>
      <c r="B997" s="1" t="s">
        <v>994</v>
      </c>
      <c r="C997" t="str">
        <f>IFERROR(__xludf.DUMMYFUNCTION("GOOGLETRANSLATE(B997, ""fr"", ""en"")"),"Speed, efficiency, ease of use and quiet! I have a lot of old papers to be destroyed, but I can not throw and recycling: the battery reaches 60cm in height! Invoices electricity, water, rent, insurance, old housing, credit, bank, etc ... I'm very conserva"&amp;"tive, but there .... In short: I am delighted with this purchase, safe machine, fast and almost no noise! The old loyalty cards go by very quickly, as much as paper, super fast. I have not yet tried the destroyer of CDs but I'll use it. I should take one "&amp;"before! In 15 minutes I filled the drip tray, I have brewed all and shoo ... recycling. I can not believe this efficiency. I am very satisfied, really, and I highly recommend this product, even to individuals: it is not good to take documents that contain"&amp;" sensitive information.")</f>
        <v>Speed, efficiency, ease of use and quiet! I have a lot of old papers to be destroyed, but I can not throw and recycling: the battery reaches 60cm in height! Invoices electricity, water, rent, insurance, old housing, credit, bank, etc ... I'm very conservative, but there .... In short: I am delighted with this purchase, safe machine, fast and almost no noise! The old loyalty cards go by very quickly, as much as paper, super fast. I have not yet tried the destroyer of CDs but I'll use it. I should take one before! In 15 minutes I filled the drip tray, I have brewed all and shoo ... recycling. I can not believe this efficiency. I am very satisfied, really, and I highly recommend this product, even to individuals: it is not good to take documents that contain sensitive information.</v>
      </c>
    </row>
    <row r="998">
      <c r="A998" s="1">
        <v>5.0</v>
      </c>
      <c r="B998" s="1" t="s">
        <v>995</v>
      </c>
      <c r="C998" t="str">
        <f>IFERROR(__xludf.DUMMYFUNCTION("GOOGLETRANSLATE(B998, ""fr"", ""en"")"),"Perfect Perfect for large bottle sold with nipple 2 (which is a shame for elsewhere. Baby goes to 150 ml before the pacifier 2)")</f>
        <v>Perfect Perfect for large bottle sold with nipple 2 (which is a shame for elsewhere. Baby goes to 150 ml before the pacifier 2)</v>
      </c>
    </row>
    <row r="999">
      <c r="A999" s="1">
        <v>5.0</v>
      </c>
      <c r="B999" s="1" t="s">
        <v>996</v>
      </c>
      <c r="C999" t="str">
        <f>IFERROR(__xludf.DUMMYFUNCTION("GOOGLETRANSLATE(B999, ""fr"", ""en"")"),"Collier cognac amber necklace 33cm amber screwed with safety clasp. The amber beads are secured with a knot between each pearl. Comes with certificate of authenticity.")</f>
        <v>Collier cognac amber necklace 33cm amber screwed with safety clasp. The amber beads are secured with a knot between each pearl. Comes with certificate of authenticity.</v>
      </c>
    </row>
    <row r="1000">
      <c r="A1000" s="1">
        <v>5.0</v>
      </c>
      <c r="B1000" s="1" t="s">
        <v>997</v>
      </c>
      <c r="C1000" t="str">
        <f>IFERROR(__xludf.DUMMYFUNCTION("GOOGLETRANSLATE(B1000, ""fr"", ""en"")"),"safety shoes These shoes are pretty comfortable and convenient I have no pain. ..dés moments where I wear.")</f>
        <v>safety shoes These shoes are pretty comfortable and convenient I have no pain. ..dés moments where I wear.</v>
      </c>
    </row>
    <row r="1001">
      <c r="A1001" s="1">
        <v>5.0</v>
      </c>
      <c r="B1001" s="1" t="s">
        <v>998</v>
      </c>
      <c r="C1001" t="str">
        <f>IFERROR(__xludf.DUMMYFUNCTION("GOOGLETRANSLATE(B1001, ""fr"", ""en"")"),"Although supported Practicing crossfit I need good support for the different exercises I love it! Take your usual size. It will be your allies")</f>
        <v>Although supported Practicing crossfit I need good support for the different exercises I love it! Take your usual size. It will be your allies</v>
      </c>
    </row>
    <row r="1002">
      <c r="A1002" s="1">
        <v>5.0</v>
      </c>
      <c r="B1002" s="1" t="s">
        <v>999</v>
      </c>
      <c r="C1002" t="str">
        <f>IFERROR(__xludf.DUMMYFUNCTION("GOOGLETRANSLATE(B1002, ""fr"", ""en"")"),"the beautiful quality watch")</f>
        <v>the beautiful quality watch</v>
      </c>
    </row>
    <row r="1003">
      <c r="A1003" s="1">
        <v>5.0</v>
      </c>
      <c r="B1003" s="1" t="s">
        <v>1000</v>
      </c>
      <c r="C1003" t="str">
        <f>IFERROR(__xludf.DUMMYFUNCTION("GOOGLETRANSLATE(B1003, ""fr"", ""en"")"),"Product Range High: 10/10: Recommendation +++ Very nice product: I was looking to replace my headphones TRANYA headphones that were dying, formerly purchased on Amazon there are 1 year and a half and I'm clearly delighted with my purchase. Using my headph"&amp;"ones mainly in transport and for sports these headphones seem very suited me for this type of use. - When receiving: the headphones are in a very refined box. A user guide (in French) is provided and instructions are childish: the installation took me not"&amp;" more than 2 minutes. A small cloth bag comes with: very convenient for addicts like myself storage. - On the charging cradle you can see the percentage of load which lets get real-time account of the level of loading: very convenient. - The use of touch:"&amp;" +++ Very intuitive and easy to use everything is explained in the guide. - Sound quality: EXCEPTIONAL! I'm in love if you like listening to music with high volume, like good bass / acute and I pass by these headphones are for you! Satisfaction guaranteed"&amp;". I am very pleasantly surprised to sound this good for such a low blow. - Asset important: A guarantee of 24 months = 2 years. - Other information: headphones flashing neon light green when using: I personally do not find it shocking of all is the same o"&amp;"riginal and gives added value to the product. The earphones well permeate the ear canals without discomfort: Quite comfortable. Concerning the tightness I could not even evaluate it. In conclusion: very so please with my purchase: I recommend.")</f>
        <v>Product Range High: 10/10: Recommendation +++ Very nice product: I was looking to replace my headphones TRANYA headphones that were dying, formerly purchased on Amazon there are 1 year and a half and I'm clearly delighted with my purchase. Using my headphones mainly in transport and for sports these headphones seem very suited me for this type of use. - When receiving: the headphones are in a very refined box. A user guide (in French) is provided and instructions are childish: the installation took me not more than 2 minutes. A small cloth bag comes with: very convenient for addicts like myself storage. - On the charging cradle you can see the percentage of load which lets get real-time account of the level of loading: very convenient. - The use of touch: +++ Very intuitive and easy to use everything is explained in the guide. - Sound quality: EXCEPTIONAL! I'm in love if you like listening to music with high volume, like good bass / acute and I pass by these headphones are for you! Satisfaction guaranteed. I am very pleasantly surprised to sound this good for such a low blow. - Asset important: A guarantee of 24 months = 2 years. - Other information: headphones flashing neon light green when using: I personally do not find it shocking of all is the same original and gives added value to the product. The earphones well permeate the ear canals without discomfort: Quite comfortable. Concerning the tightness I could not even evaluate it. In conclusion: very so please with my purchase: I recommend.</v>
      </c>
    </row>
    <row r="1004">
      <c r="A1004" s="1">
        <v>5.0</v>
      </c>
      <c r="B1004" s="1" t="s">
        <v>1001</v>
      </c>
      <c r="C1004" t="str">
        <f>IFERROR(__xludf.DUMMYFUNCTION("GOOGLETRANSLATE(B1004, ""fr"", ""en"")"),"Original and surprising I love this sweater and I ordered a dozen. very original and there is something for everyone.")</f>
        <v>Original and surprising I love this sweater and I ordered a dozen. very original and there is something for everyone.</v>
      </c>
    </row>
    <row r="1005">
      <c r="A1005" s="1">
        <v>5.0</v>
      </c>
      <c r="B1005" s="1" t="s">
        <v>1002</v>
      </c>
      <c r="C1005" t="str">
        <f>IFERROR(__xludf.DUMMYFUNCTION("GOOGLETRANSLATE(B1005, ""fr"", ""en"")"),"Nickel Very beautiful result")</f>
        <v>Nickel Very beautiful result</v>
      </c>
    </row>
    <row r="1006">
      <c r="A1006" s="1">
        <v>5.0</v>
      </c>
      <c r="B1006" s="1" t="s">
        <v>1003</v>
      </c>
      <c r="C1006" t="str">
        <f>IFERROR(__xludf.DUMMYFUNCTION("GOOGLETRANSLATE(B1006, ""fr"", ""en"")"),"Compact and especially pliable making it a nomadic helmet insulation good noise outside Nickel am delighted with this purchase, because the sound is super crisp and clear and also headphones handy to watch a movie from the shelf The small problem is that "&amp;"we must remove the micro sD (where you put music) to switch Bluetooth to watch a movie (or so I have not read the manual) the apparaige is easy to do")</f>
        <v>Compact and especially pliable making it a nomadic helmet insulation good noise outside Nickel am delighted with this purchase, because the sound is super crisp and clear and also headphones handy to watch a movie from the shelf The small problem is that we must remove the micro sD (where you put music) to switch Bluetooth to watch a movie (or so I have not read the manual) the apparaige is easy to do</v>
      </c>
    </row>
    <row r="1007">
      <c r="A1007" s="1">
        <v>5.0</v>
      </c>
      <c r="B1007" s="1" t="s">
        <v>1004</v>
      </c>
      <c r="C1007" t="str">
        <f>IFERROR(__xludf.DUMMYFUNCTION("GOOGLETRANSLATE(B1007, ""fr"", ""en"")"),"Watch woman on top Fast delivery. Item as described.")</f>
        <v>Watch woman on top Fast delivery. Item as described.</v>
      </c>
    </row>
    <row r="1008">
      <c r="A1008" s="1">
        <v>5.0</v>
      </c>
      <c r="B1008" s="1" t="s">
        <v>1005</v>
      </c>
      <c r="C1008" t="str">
        <f>IFERROR(__xludf.DUMMYFUNCTION("GOOGLETRANSLATE(B1008, ""fr"", ""en"")"),"""Too too funny"" I was looking for a book for my 14 year old daughter, and explain that parents are not there to put up barriers ""for nothing."" She was skeptical and did not want it, but I bought it anyway. Result, she loved this book she found ""too t"&amp;"oo funny,"" although he says nonetheless amusing way the protective role of parents.")</f>
        <v>"Too too funny" I was looking for a book for my 14 year old daughter, and explain that parents are not there to put up barriers "for nothing." She was skeptical and did not want it, but I bought it anyway. Result, she loved this book she found "too too funny," although he says nonetheless amusing way the protective role of parents.</v>
      </c>
    </row>
    <row r="1009">
      <c r="A1009" s="1">
        <v>5.0</v>
      </c>
      <c r="B1009" s="1" t="s">
        <v>1006</v>
      </c>
      <c r="C1009" t="str">
        <f>IFERROR(__xludf.DUMMYFUNCTION("GOOGLETRANSLATE(B1009, ""fr"", ""en"")"),"Very good surprise I have just received my S9 headphones in HETP and I am very surprised. The packaging is worthy of the greatest. The quality of étuie and headphones is to go. The sound is more than adequate for the price and especially the touch control"&amp;"s respond very well. I recommend.")</f>
        <v>Very good surprise I have just received my S9 headphones in HETP and I am very surprised. The packaging is worthy of the greatest. The quality of étuie and headphones is to go. The sound is more than adequate for the price and especially the touch controls respond very well. I recommend.</v>
      </c>
    </row>
    <row r="1010">
      <c r="A1010" s="1">
        <v>5.0</v>
      </c>
      <c r="B1010" s="1" t="s">
        <v>1007</v>
      </c>
      <c r="C1010" t="str">
        <f>IFERROR(__xludf.DUMMYFUNCTION("GOOGLETRANSLATE(B1010, ""fr"", ""en"")"),"good quality very satisfied with this purchase. according to the announcement. good quality for the price. I highly recommend considering the price which I paid")</f>
        <v>good quality very satisfied with this purchase. according to the announcement. good quality for the price. I highly recommend considering the price which I paid</v>
      </c>
    </row>
    <row r="1011">
      <c r="A1011" s="1">
        <v>2.0</v>
      </c>
      <c r="B1011" s="1" t="s">
        <v>1008</v>
      </c>
      <c r="C1011" t="str">
        <f>IFERROR(__xludf.DUMMYFUNCTION("GOOGLETRANSLATE(B1011, ""fr"", ""en"")"),"Heater too slowly I followed the positive ratings by ordering this product and ultimately I regret: it takes a long time to properly heat the food and the indications are, I think, not correct. Moral: he stayed in the closet. Unnecessary purchase for me ."&amp;".")</f>
        <v>Heater too slowly I followed the positive ratings by ordering this product and ultimately I regret: it takes a long time to properly heat the food and the indications are, I think, not correct. Moral: he stayed in the closet. Unnecessary purchase for me ..</v>
      </c>
    </row>
    <row r="1012">
      <c r="A1012" s="1">
        <v>1.0</v>
      </c>
      <c r="B1012" s="1" t="s">
        <v>1009</v>
      </c>
      <c r="C1012" t="str">
        <f>IFERROR(__xludf.DUMMYFUNCTION("GOOGLETRANSLATE(B1012, ""fr"", ""en"")"),"Disappointed I large size 39 and I has Caught my size but they are too large")</f>
        <v>Disappointed I large size 39 and I has Caught my size but they are too large</v>
      </c>
    </row>
    <row r="1013">
      <c r="A1013" s="1">
        <v>1.0</v>
      </c>
      <c r="B1013" s="1" t="s">
        <v>1010</v>
      </c>
      <c r="C1013" t="str">
        <f>IFERROR(__xludf.DUMMYFUNCTION("GOOGLETRANSLATE(B1013, ""fr"", ""en"")"),"No difference No difference without ... Disappointing value.")</f>
        <v>No difference No difference without ... Disappointing value.</v>
      </c>
    </row>
    <row r="1014">
      <c r="A1014" s="1">
        <v>3.0</v>
      </c>
      <c r="B1014" s="1" t="s">
        <v>1011</v>
      </c>
      <c r="C1014" t="str">
        <f>IFERROR(__xludf.DUMMYFUNCTION("GOOGLETRANSLATE(B1014, ""fr"", ""en"")"),"Gift This is a gift")</f>
        <v>Gift This is a gift</v>
      </c>
    </row>
    <row r="1015">
      <c r="A1015" s="1">
        <v>3.0</v>
      </c>
      <c r="B1015" s="1" t="s">
        <v>1012</v>
      </c>
      <c r="C1015" t="str">
        <f>IFERROR(__xludf.DUMMYFUNCTION("GOOGLETRANSLATE(B1015, ""fr"", ""en"")"),"Done joke ... except for the cell phone! The bag arrived on time. The leather is of average quality, it is already scratched in places when I unpacked but at this price, it's more or less what I expected. When empty, it is relatively light, which is not n"&amp;"egligible. The handles are a little short, difficult to wear on the shoulder when you put a jacket, damage. In view of the colossal size of the central compartment, an additional pocket and / or one or two zip pockets in addition to the outside have been "&amp;"invited. The biggest downside: the pocket supposedly dedicated to the mobile phone is distorted and too small. I have a Galaxy S7, which is pretty standard as phone size and it does not. I'm good for a spelunking session intra-bag each time I want to get "&amp;"hold of it.")</f>
        <v>Done joke ... except for the cell phone! The bag arrived on time. The leather is of average quality, it is already scratched in places when I unpacked but at this price, it's more or less what I expected. When empty, it is relatively light, which is not negligible. The handles are a little short, difficult to wear on the shoulder when you put a jacket, damage. In view of the colossal size of the central compartment, an additional pocket and / or one or two zip pockets in addition to the outside have been invited. The biggest downside: the pocket supposedly dedicated to the mobile phone is distorted and too small. I have a Galaxy S7, which is pretty standard as phone size and it does not. I'm good for a spelunking session intra-bag each time I want to get hold of it.</v>
      </c>
    </row>
    <row r="1016">
      <c r="A1016" s="1">
        <v>4.0</v>
      </c>
      <c r="B1016" s="1" t="s">
        <v>1013</v>
      </c>
      <c r="C1016" t="str">
        <f>IFERROR(__xludf.DUMMYFUNCTION("GOOGLETRANSLATE(B1016, ""fr"", ""en"")"),"Good value for money. A watch first unpretentious prices but a quality / fair price.")</f>
        <v>Good value for money. A watch first unpretentious prices but a quality / fair price.</v>
      </c>
    </row>
    <row r="1017">
      <c r="A1017" s="1">
        <v>4.0</v>
      </c>
      <c r="B1017" s="1" t="s">
        <v>1014</v>
      </c>
      <c r="C1017" t="str">
        <f>IFERROR(__xludf.DUMMYFUNCTION("GOOGLETRANSLATE(B1017, ""fr"", ""en"")"),"quality / price was right the first test it was not yet conclusive we weighed the subject, but after 10 minutes it was down, that's why I remove a star. So we resigned to paste the entire length of this object and it moves longer 😊 hope it lasts. So qual"&amp;"ity / good price;)")</f>
        <v>quality / price was right the first test it was not yet conclusive we weighed the subject, but after 10 minutes it was down, that's why I remove a star. So we resigned to paste the entire length of this object and it moves longer 😊 hope it lasts. So quality / good price;)</v>
      </c>
    </row>
    <row r="1018">
      <c r="A1018" s="1">
        <v>4.0</v>
      </c>
      <c r="B1018" s="1" t="s">
        <v>1015</v>
      </c>
      <c r="C1018" t="str">
        <f>IFERROR(__xludf.DUMMYFUNCTION("GOOGLETRANSLATE(B1018, ""fr"", ""en"")"),"effective insulation, excellent sound is worth the price, noise reduction is not perfect but you can listen at lower volume in noisy places like the subway. The touch controls are practical. I do have two criticisms. First, the touch controls can be annoy"&amp;"ing in some situations; if a hood or a bed cover touches the right side of the helmet, the commands are activated. Moreover, they resent the large temperature changes: moving from an apartment heated outside where it freezes will activate commands randoml"&amp;"y put music pause or change songs. You must restart the headset into the new temperature for the problem disappears. The Sony media said they are working on an update for several months. Second, we can not go from a Bluetooth source to another easily, I h"&amp;"ave to disconnect my iPhone and then reconnect the headset to my PC.")</f>
        <v>effective insulation, excellent sound is worth the price, noise reduction is not perfect but you can listen at lower volume in noisy places like the subway. The touch controls are practical. I do have two criticisms. First, the touch controls can be annoying in some situations; if a hood or a bed cover touches the right side of the helmet, the commands are activated. Moreover, they resent the large temperature changes: moving from an apartment heated outside where it freezes will activate commands randomly put music pause or change songs. You must restart the headset into the new temperature for the problem disappears. The Sony media said they are working on an update for several months. Second, we can not go from a Bluetooth source to another easily, I have to disconnect my iPhone and then reconnect the headset to my PC.</v>
      </c>
    </row>
    <row r="1019">
      <c r="A1019" s="1">
        <v>4.0</v>
      </c>
      <c r="B1019" s="1" t="s">
        <v>1016</v>
      </c>
      <c r="C1019" t="str">
        <f>IFERROR(__xludf.DUMMYFUNCTION("GOOGLETRANSLATE(B1019, ""fr"", ""en"")"),"Supe To store solid mini girl toy and toop")</f>
        <v>Supe To store solid mini girl toy and toop</v>
      </c>
    </row>
    <row r="1020">
      <c r="A1020" s="1">
        <v>5.0</v>
      </c>
      <c r="B1020" s="1" t="s">
        <v>1017</v>
      </c>
      <c r="C1020" t="str">
        <f>IFERROR(__xludf.DUMMYFUNCTION("GOOGLETRANSLATE(B1020, ""fr"", ""en"")"),"handy I am delighted my calendar handy, because you can see at a glance all his week. by against the dimmensions agenda are quite large, so rather usable in office")</f>
        <v>handy I am delighted my calendar handy, because you can see at a glance all his week. by against the dimmensions agenda are quite large, so rather usable in office</v>
      </c>
    </row>
    <row r="1021">
      <c r="A1021" s="1">
        <v>5.0</v>
      </c>
      <c r="B1021" s="1" t="s">
        <v>1018</v>
      </c>
      <c r="C1021" t="str">
        <f>IFERROR(__xludf.DUMMYFUNCTION("GOOGLETRANSLATE(B1021, ""fr"", ""en"")"),"Equal to the photo Gift")</f>
        <v>Equal to the photo Gift</v>
      </c>
    </row>
    <row r="1022">
      <c r="A1022" s="1">
        <v>5.0</v>
      </c>
      <c r="B1022" s="1" t="s">
        <v>1019</v>
      </c>
      <c r="C1022" t="str">
        <f>IFERROR(__xludf.DUMMYFUNCTION("GOOGLETRANSLATE(B1022, ""fr"", ""en"")"),"MY PRACTICE ORDER SO CONVERSES CLASSIC FOOTWEAR. I HAD TO REPLACE THE OLD AND IN ONE CLICK TO ME ARE MY CONVERSES 😎")</f>
        <v>MY PRACTICE ORDER SO CONVERSES CLASSIC FOOTWEAR. I HAD TO REPLACE THE OLD AND IN ONE CLICK TO ME ARE MY CONVERSES 😎</v>
      </c>
    </row>
    <row r="1023">
      <c r="A1023" s="1">
        <v>5.0</v>
      </c>
      <c r="B1023" s="1" t="s">
        <v>1020</v>
      </c>
      <c r="C1023" t="str">
        <f>IFERROR(__xludf.DUMMYFUNCTION("GOOGLETRANSLATE(B1023, ""fr"", ""en"")"),"purchase concluding interesting purchase, size S = 90 C as indicated in another post. Nice article covering and excellent support for high impact activities. Running Martial Arts Practitioner and very satisfied. Article advised.")</f>
        <v>purchase concluding interesting purchase, size S = 90 C as indicated in another post. Nice article covering and excellent support for high impact activities. Running Martial Arts Practitioner and very satisfied. Article advised.</v>
      </c>
    </row>
    <row r="1024">
      <c r="A1024" s="1">
        <v>5.0</v>
      </c>
      <c r="B1024" s="1" t="s">
        <v>1021</v>
      </c>
      <c r="C1024" t="str">
        <f>IFERROR(__xludf.DUMMYFUNCTION("GOOGLETRANSLATE(B1024, ""fr"", ""en"")"),"Gift successful My niece received them as gifts and leaves them more, the size is perfect and she loves them! A successful gift :)")</f>
        <v>Gift successful My niece received them as gifts and leaves them more, the size is perfect and she loves them! A successful gift :)</v>
      </c>
    </row>
    <row r="1025">
      <c r="A1025" s="1">
        <v>5.0</v>
      </c>
      <c r="B1025" s="1" t="s">
        <v>1022</v>
      </c>
      <c r="C1025" t="str">
        <f>IFERROR(__xludf.DUMMYFUNCTION("GOOGLETRANSLATE(B1025, ""fr"", ""en"")"),"comprehensive Reveil What a nice surprise with this awakening and it is based cable supplied with this is easy to program leaflet grace al Application Time display 12/24 LED brightness sunrise simulation of the sun color simulation sunset July 4 program W"&amp;"ake 7sonneries FM Radio USB I recommend this product")</f>
        <v>comprehensive Reveil What a nice surprise with this awakening and it is based cable supplied with this is easy to program leaflet grace al Application Time display 12/24 LED brightness sunrise simulation of the sun color simulation sunset July 4 program Wake 7sonneries FM Radio USB I recommend this product</v>
      </c>
    </row>
    <row r="1026">
      <c r="A1026" s="1">
        <v>5.0</v>
      </c>
      <c r="B1026" s="1" t="s">
        <v>1023</v>
      </c>
      <c r="C1026" t="str">
        <f>IFERROR(__xludf.DUMMYFUNCTION("GOOGLETRANSLATE(B1026, ""fr"", ""en"")"),"Top! Great color, I fell in love with the Italian apparel manufacturing. Fabric warm and beautiful color. Very good!")</f>
        <v>Top! Great color, I fell in love with the Italian apparel manufacturing. Fabric warm and beautiful color. Very good!</v>
      </c>
    </row>
    <row r="1027">
      <c r="A1027" s="1">
        <v>5.0</v>
      </c>
      <c r="B1027" s="1" t="s">
        <v>1024</v>
      </c>
      <c r="C1027" t="str">
        <f>IFERROR(__xludf.DUMMYFUNCTION("GOOGLETRANSLATE(B1027, ""fr"", ""en"")"),"Awesome! Very good result I literally devoured by mosquitoes when yen tiny little or big it's a real problem since it is plugged nothing to say I'm more dive for evidence after a month while there were no mosquitos and I was quiet jenlai remove one night!"&amp;" Total 3piquures the next day and beautiful !! So I recommend for those who like me are true blood pump !! lol")</f>
        <v>Awesome! Very good result I literally devoured by mosquitoes when yen tiny little or big it's a real problem since it is plugged nothing to say I'm more dive for evidence after a month while there were no mosquitos and I was quiet jenlai remove one night! Total 3piquures the next day and beautiful !! So I recommend for those who like me are true blood pump !! lol</v>
      </c>
    </row>
    <row r="1028">
      <c r="A1028" s="1">
        <v>5.0</v>
      </c>
      <c r="B1028" s="1" t="s">
        <v>1025</v>
      </c>
      <c r="C1028" t="str">
        <f>IFERROR(__xludf.DUMMYFUNCTION("GOOGLETRANSLATE(B1028, ""fr"", ""en"")"),"Recommend Very useful for learning to read")</f>
        <v>Recommend Very useful for learning to read</v>
      </c>
    </row>
    <row r="1029">
      <c r="A1029" s="1">
        <v>5.0</v>
      </c>
      <c r="B1029" s="1" t="s">
        <v>1026</v>
      </c>
      <c r="C1029" t="str">
        <f>IFERROR(__xludf.DUMMYFUNCTION("GOOGLETRANSLATE(B1029, ""fr"", ""en"")"),"Excellent Excellent product .. The cable is very good. He is faithful to the image and the description described the site.Merci")</f>
        <v>Excellent Excellent product .. The cable is very good. He is faithful to the image and the description described the site.Merci</v>
      </c>
    </row>
    <row r="1030">
      <c r="A1030" s="1">
        <v>5.0</v>
      </c>
      <c r="B1030" s="1" t="s">
        <v>1027</v>
      </c>
      <c r="C1030" t="str">
        <f>IFERROR(__xludf.DUMMYFUNCTION("GOOGLETRANSLATE(B1030, ""fr"", ""en"")"),"Good good device massager, it is powerful and easy to handle. For cellulite effect, I think that using the device regularly, there will be a result because after 10 minutes of massage my thighs are red, showing that blood flow was stimulated so my celluli"&amp;"te too!")</f>
        <v>Good good device massager, it is powerful and easy to handle. For cellulite effect, I think that using the device regularly, there will be a result because after 10 minutes of massage my thighs are red, showing that blood flow was stimulated so my cellulite too!</v>
      </c>
    </row>
    <row r="1031">
      <c r="A1031" s="1">
        <v>5.0</v>
      </c>
      <c r="B1031" s="1" t="s">
        <v>1028</v>
      </c>
      <c r="C1031" t="str">
        <f>IFERROR(__xludf.DUMMYFUNCTION("GOOGLETRANSLATE(B1031, ""fr"", ""en"")"),"very good buy this watch is exactly what I needed: an everyday tool. its functions are easily accessible and accurate enough for the average person ... and more: it gives the time !!!!")</f>
        <v>very good buy this watch is exactly what I needed: an everyday tool. its functions are easily accessible and accurate enough for the average person ... and more: it gives the time !!!!</v>
      </c>
    </row>
    <row r="1032">
      <c r="A1032" s="1">
        <v>5.0</v>
      </c>
      <c r="B1032" s="1" t="s">
        <v>1029</v>
      </c>
      <c r="C1032" t="str">
        <f>IFERROR(__xludf.DUMMYFUNCTION("GOOGLETRANSLATE(B1032, ""fr"", ""en"")"),"shoe my little girl to love")</f>
        <v>shoe my little girl to love</v>
      </c>
    </row>
    <row r="1033">
      <c r="A1033" s="1">
        <v>5.0</v>
      </c>
      <c r="B1033" s="1" t="s">
        <v>1030</v>
      </c>
      <c r="C1033" t="str">
        <f>IFERROR(__xludf.DUMMYFUNCTION("GOOGLETRANSLATE(B1033, ""fr"", ""en"")"),"Effective efficiency product")</f>
        <v>Effective efficiency product</v>
      </c>
    </row>
    <row r="1034">
      <c r="A1034" s="1">
        <v>5.0</v>
      </c>
      <c r="B1034" s="1" t="s">
        <v>1031</v>
      </c>
      <c r="C1034" t="str">
        <f>IFERROR(__xludf.DUMMYFUNCTION("GOOGLETRANSLATE(B1034, ""fr"", ""en"")"),"Lightweight and good cushioning These TBS meet my expectations. Lightweight, well designed and very nice color. A quality mark")</f>
        <v>Lightweight and good cushioning These TBS meet my expectations. Lightweight, well designed and very nice color. A quality mark</v>
      </c>
    </row>
    <row r="1035">
      <c r="A1035" s="1">
        <v>2.0</v>
      </c>
      <c r="B1035" s="1" t="s">
        <v>1032</v>
      </c>
      <c r="C1035" t="str">
        <f>IFERROR(__xludf.DUMMYFUNCTION("GOOGLETRANSLATE(B1035, ""fr"", ""en"")"),"too small too small")</f>
        <v>too small too small</v>
      </c>
    </row>
    <row r="1036">
      <c r="A1036" s="1">
        <v>1.0</v>
      </c>
      <c r="B1036" s="1" t="s">
        <v>1033</v>
      </c>
      <c r="C1036" t="str">
        <f>IFERROR(__xludf.DUMMYFUNCTION("GOOGLETRANSLATE(B1036, ""fr"", ""en"")"),"heavy too heavy and annoying after a while. pity")</f>
        <v>heavy too heavy and annoying after a while. pity</v>
      </c>
    </row>
    <row r="1037">
      <c r="A1037" s="1">
        <v>1.0</v>
      </c>
      <c r="B1037" s="1" t="s">
        <v>1034</v>
      </c>
      <c r="C1037" t="str">
        <f>IFERROR(__xludf.DUMMYFUNCTION("GOOGLETRANSLATE(B1037, ""fr"", ""en"")"),"the crackling and no customer service response ... I had never used microwave for my family videos or doing interviews for my facebook page blog. Received 24 with Prime, this mic is plug and play and can significantly improve the sound. It was not a profe"&amp;"ssional microphone but clearly sufficient in an amateur setting. Unfortunately after a few uses recordings became inaudible crackling reasons. Despite several requests to customer service, I have been entitled to answers by email meaningless, presumably t"&amp;"o discourage me. I do not recommend buying this mic, not so much for the technical problem can always happen, but the customer service is not serious if not dishonest ...")</f>
        <v>the crackling and no customer service response ... I had never used microwave for my family videos or doing interviews for my facebook page blog. Received 24 with Prime, this mic is plug and play and can significantly improve the sound. It was not a professional microphone but clearly sufficient in an amateur setting. Unfortunately after a few uses recordings became inaudible crackling reasons. Despite several requests to customer service, I have been entitled to answers by email meaningless, presumably to discourage me. I do not recommend buying this mic, not so much for the technical problem can always happen, but the customer service is not serious if not dishonest ...</v>
      </c>
    </row>
    <row r="1038">
      <c r="A1038" s="1">
        <v>3.0</v>
      </c>
      <c r="B1038" s="1" t="s">
        <v>1035</v>
      </c>
      <c r="C1038" t="str">
        <f>IFERROR(__xludf.DUMMYFUNCTION("GOOGLETRANSLATE(B1038, ""fr"", ""en"")"),"Middle Size a little big! pity ! keep as can be used in emergencies. Otherwise nice and solid material.")</f>
        <v>Middle Size a little big! pity ! keep as can be used in emergencies. Otherwise nice and solid material.</v>
      </c>
    </row>
    <row r="1039">
      <c r="A1039" s="1">
        <v>4.0</v>
      </c>
      <c r="B1039" s="1" t="s">
        <v>1036</v>
      </c>
      <c r="C1039" t="str">
        <f>IFERROR(__xludf.DUMMYFUNCTION("GOOGLETRANSLATE(B1039, ""fr"", ""en"")"),"Good product Good product not very thick but still suitable for the half year season. Usually I wear size 40/42, I took the year size M / L and size very well.")</f>
        <v>Good product Good product not very thick but still suitable for the half year season. Usually I wear size 40/42, I took the year size M / L and size very well.</v>
      </c>
    </row>
    <row r="1040">
      <c r="A1040" s="1">
        <v>4.0</v>
      </c>
      <c r="B1040" s="1" t="s">
        <v>1037</v>
      </c>
      <c r="C1040" t="str">
        <f>IFERROR(__xludf.DUMMYFUNCTION("GOOGLETRANSLATE(B1040, ""fr"", ""en"")"),"Perfect for my canon mg3000 no problem")</f>
        <v>Perfect for my canon mg3000 no problem</v>
      </c>
    </row>
    <row r="1041">
      <c r="A1041" s="1">
        <v>4.0</v>
      </c>
      <c r="B1041" s="1" t="s">
        <v>1038</v>
      </c>
      <c r="C1041" t="str">
        <f>IFERROR(__xludf.DUMMYFUNCTION("GOOGLETRANSLATE(B1041, ""fr"", ""en"")"),"Very nice and very good large satchel ideal teacher, a little big but suddenly can store a lot of items, PC, paper ... quality material corresponds to my request, the strap is not very elegant but not easily replace. great value for money")</f>
        <v>Very nice and very good large satchel ideal teacher, a little big but suddenly can store a lot of items, PC, paper ... quality material corresponds to my request, the strap is not very elegant but not easily replace. great value for money</v>
      </c>
    </row>
    <row r="1042">
      <c r="A1042" s="1">
        <v>4.0</v>
      </c>
      <c r="B1042" s="1" t="s">
        <v>1039</v>
      </c>
      <c r="C1042" t="str">
        <f>IFERROR(__xludf.DUMMYFUNCTION("GOOGLETRANSLATE(B1042, ""fr"", ""en"")"),"good product and original as expected, good quality for the price, and well finished product. only downside, the size, I would recommend this to target a size up. (Size a bit small)")</f>
        <v>good product and original as expected, good quality for the price, and well finished product. only downside, the size, I would recommend this to target a size up. (Size a bit small)</v>
      </c>
    </row>
    <row r="1043">
      <c r="A1043" s="1">
        <v>5.0</v>
      </c>
      <c r="B1043" s="1" t="s">
        <v>1040</v>
      </c>
      <c r="C1043" t="str">
        <f>IFERROR(__xludf.DUMMYFUNCTION("GOOGLETRANSLATE(B1043, ""fr"", ""en"")"),"Mint Parfait I still bears")</f>
        <v>Mint Parfait I still bears</v>
      </c>
    </row>
    <row r="1044">
      <c r="A1044" s="1">
        <v>5.0</v>
      </c>
      <c r="B1044" s="1" t="s">
        <v>1041</v>
      </c>
      <c r="C1044" t="str">
        <f>IFERROR(__xludf.DUMMYFUNCTION("GOOGLETRANSLATE(B1044, ""fr"", ""en"")"),"Convenient for sport Very good product")</f>
        <v>Convenient for sport Very good product</v>
      </c>
    </row>
    <row r="1045">
      <c r="A1045" s="1">
        <v>5.0</v>
      </c>
      <c r="B1045" s="1" t="s">
        <v>1042</v>
      </c>
      <c r="C1045" t="str">
        <f>IFERROR(__xludf.DUMMYFUNCTION("GOOGLETRANSLATE(B1045, ""fr"", ""en"")"),"Very happy with my purchase Set of bottles which allows to have everything you need when baby arrives. They are of good quality. Excellent value compared to the prices we can find that internet or pharmacy")</f>
        <v>Very happy with my purchase Set of bottles which allows to have everything you need when baby arrives. They are of good quality. Excellent value compared to the prices we can find that internet or pharmacy</v>
      </c>
    </row>
    <row r="1046">
      <c r="A1046" s="1">
        <v>5.0</v>
      </c>
      <c r="B1046" s="1" t="s">
        <v>1043</v>
      </c>
      <c r="C1046" t="str">
        <f>IFERROR(__xludf.DUMMYFUNCTION("GOOGLETRANSLATE(B1046, ""fr"", ""en"")"),"Very solid practice")</f>
        <v>Very solid practice</v>
      </c>
    </row>
    <row r="1047">
      <c r="A1047" s="1">
        <v>5.0</v>
      </c>
      <c r="B1047" s="1" t="s">
        <v>1044</v>
      </c>
      <c r="C1047" t="str">
        <f>IFERROR(__xludf.DUMMYFUNCTION("GOOGLETRANSLATE(B1047, ""fr"", ""en"")"),"Remarkable J bought these headphones bluetooth because I am professional dance. They are perfect ! The sound is unbeatable. Ideal to stay in his bubble and dance without being disturbed. Once upgraded to the ears do not move even with different movements.")</f>
        <v>Remarkable J bought these headphones bluetooth because I am professional dance. They are perfect ! The sound is unbeatable. Ideal to stay in his bubble and dance without being disturbed. Once upgraded to the ears do not move even with different movements.</v>
      </c>
    </row>
    <row r="1048">
      <c r="A1048" s="1">
        <v>5.0</v>
      </c>
      <c r="B1048" s="1" t="s">
        <v>1045</v>
      </c>
      <c r="C1048" t="str">
        <f>IFERROR(__xludf.DUMMYFUNCTION("GOOGLETRANSLATE(B1048, ""fr"", ""en"")"),"Earrings 925 Silver Earrings Studs beautiful and discrete, offered for a birthday.")</f>
        <v>Earrings 925 Silver Earrings Studs beautiful and discrete, offered for a birthday.</v>
      </c>
    </row>
    <row r="1049">
      <c r="A1049" s="1">
        <v>5.0</v>
      </c>
      <c r="B1049" s="1" t="s">
        <v>1046</v>
      </c>
      <c r="C1049" t="str">
        <f>IFERROR(__xludf.DUMMYFUNCTION("GOOGLETRANSLATE(B1049, ""fr"", ""en"")"),"A very nice story I bought this book for my 5 year old daughter and a half following good reviews and we were not disappointed by this little chicken ""rebel"" who wanted to see the sea;) Nice story with the "" adventure ""and even a beautiful love story;"&amp;") and the format is much to handle (not too big).")</f>
        <v>A very nice story I bought this book for my 5 year old daughter and a half following good reviews and we were not disappointed by this little chicken "rebel" who wanted to see the sea;) Nice story with the " adventure "and even a beautiful love story;) and the format is much to handle (not too big).</v>
      </c>
    </row>
    <row r="1050">
      <c r="A1050" s="1">
        <v>5.0</v>
      </c>
      <c r="B1050" s="1" t="s">
        <v>1047</v>
      </c>
      <c r="C1050" t="str">
        <f>IFERROR(__xludf.DUMMYFUNCTION("GOOGLETRANSLATE(B1050, ""fr"", ""en"")"),"excellent product I am very satisfied with the product I know him very well and for years a very pleasant atmosphere of perfume even people who can not stand the smell inside say it feels very good and very fast delivery.")</f>
        <v>excellent product I am very satisfied with the product I know him very well and for years a very pleasant atmosphere of perfume even people who can not stand the smell inside say it feels very good and very fast delivery.</v>
      </c>
    </row>
    <row r="1051">
      <c r="A1051" s="1">
        <v>5.0</v>
      </c>
      <c r="B1051" s="1" t="s">
        <v>1048</v>
      </c>
      <c r="C1051" t="str">
        <f>IFERROR(__xludf.DUMMYFUNCTION("GOOGLETRANSLATE(B1051, ""fr"", ""en"")"),"First successful experience comfortable and mild, good support, good cushioning, so perfect")</f>
        <v>First successful experience comfortable and mild, good support, good cushioning, so perfect</v>
      </c>
    </row>
    <row r="1052">
      <c r="A1052" s="1">
        <v>5.0</v>
      </c>
      <c r="B1052" s="1" t="s">
        <v>1049</v>
      </c>
      <c r="C1052" t="str">
        <f>IFERROR(__xludf.DUMMYFUNCTION("GOOGLETRANSLATE(B1052, ""fr"", ""en"")"),"Good Value gear impeccable prices")</f>
        <v>Good Value gear impeccable prices</v>
      </c>
    </row>
    <row r="1053">
      <c r="A1053" s="1">
        <v>5.0</v>
      </c>
      <c r="B1053" s="1" t="s">
        <v>1050</v>
      </c>
      <c r="C1053" t="str">
        <f>IFERROR(__xludf.DUMMYFUNCTION("GOOGLETRANSLATE(B1053, ""fr"", ""en"")"),"Cool Received in advance is top quality. I do not regret absolutely not")</f>
        <v>Cool Received in advance is top quality. I do not regret absolutely not</v>
      </c>
    </row>
    <row r="1054">
      <c r="A1054" s="1">
        <v>5.0</v>
      </c>
      <c r="B1054" s="1" t="s">
        <v>1051</v>
      </c>
      <c r="C1054" t="str">
        <f>IFERROR(__xludf.DUMMYFUNCTION("GOOGLETRANSLATE(B1054, ""fr"", ""en"")"),"The Stan Smith. . . timeless.")</f>
        <v>The Stan Smith. . . timeless.</v>
      </c>
    </row>
    <row r="1055">
      <c r="A1055" s="1">
        <v>5.0</v>
      </c>
      <c r="B1055" s="1" t="s">
        <v>1052</v>
      </c>
      <c r="C1055" t="str">
        <f>IFERROR(__xludf.DUMMYFUNCTION("GOOGLETRANSLATE(B1055, ""fr"", ""en"")"),"Liquid nuk Price basket more. Very useful for cleaning bottles and teats of my daughter without using aggressive dishwashing liquid. I recommend")</f>
        <v>Liquid nuk Price basket more. Very useful for cleaning bottles and teats of my daughter without using aggressive dishwashing liquid. I recommend</v>
      </c>
    </row>
    <row r="1056">
      <c r="A1056" s="1">
        <v>5.0</v>
      </c>
      <c r="B1056" s="1" t="s">
        <v>1053</v>
      </c>
      <c r="C1056" t="str">
        <f>IFERROR(__xludf.DUMMYFUNCTION("GOOGLETRANSLATE(B1056, ""fr"", ""en"")"),"Comfortable and Beautiful sexy leggings, development of forms. Take your size or smaller size for a tighter effect like the pictures of the product Black not transparent quality The correct L is comfortable pour38 / 40 but not tight enough Effect goes but"&amp;"tocks nice / open well. Wear black thong preferably I'll try the tight-fitting suit in the same style.")</f>
        <v>Comfortable and Beautiful sexy leggings, development of forms. Take your size or smaller size for a tighter effect like the pictures of the product Black not transparent quality The correct L is comfortable pour38 / 40 but not tight enough Effect goes buttocks nice / open well. Wear black thong preferably I'll try the tight-fitting suit in the same style.</v>
      </c>
    </row>
    <row r="1057">
      <c r="A1057" s="1">
        <v>5.0</v>
      </c>
      <c r="B1057" s="1" t="s">
        <v>1054</v>
      </c>
      <c r="C1057" t="str">
        <f>IFERROR(__xludf.DUMMYFUNCTION("GOOGLETRANSLATE(B1057, ""fr"", ""en"")"),"Too beautiful Very beautiful earrings, very good quality on the door all day")</f>
        <v>Too beautiful Very beautiful earrings, very good quality on the door all day</v>
      </c>
    </row>
    <row r="1058">
      <c r="A1058" s="1">
        <v>2.0</v>
      </c>
      <c r="B1058" s="1" t="s">
        <v>1055</v>
      </c>
      <c r="C1058" t="str">
        <f>IFERROR(__xludf.DUMMYFUNCTION("GOOGLETRANSLATE(B1058, ""fr"", ""en"")"),"the galley to put the model is too small to me. I hesitated to order a size up because it is very difficult to put on. I prefer to try to order a model that opens in the front. A shame as the article seems good, the material keeps well and is very sweet.")</f>
        <v>the galley to put the model is too small to me. I hesitated to order a size up because it is very difficult to put on. I prefer to try to order a model that opens in the front. A shame as the article seems good, the material keeps well and is very sweet.</v>
      </c>
    </row>
    <row r="1059">
      <c r="A1059" s="1">
        <v>1.0</v>
      </c>
      <c r="B1059" s="1" t="s">
        <v>1056</v>
      </c>
      <c r="C1059" t="str">
        <f>IFERROR(__xludf.DUMMYFUNCTION("GOOGLETRANSLATE(B1059, ""fr"", ""en"")"),"Disappointment I bought this product because I already purchased in the past in store. Unfortunately, the bra that I received does not match the images that are by reference. Indeed, while I was expecting to have 2 fasteners at the front, I end up with 3."&amp;" In addition, behind the black and red logo triaction not found it. So for me it does not match my expectations. Besides the picture on the packaging is different from the bra itself ???? I'll go back because for me this is not what I ordered.")</f>
        <v>Disappointment I bought this product because I already purchased in the past in store. Unfortunately, the bra that I received does not match the images that are by reference. Indeed, while I was expecting to have 2 fasteners at the front, I end up with 3. In addition, behind the black and red logo triaction not found it. So for me it does not match my expectations. Besides the picture on the packaging is different from the bra itself ???? I'll go back because for me this is not what I ordered.</v>
      </c>
    </row>
    <row r="1060">
      <c r="A1060" s="1">
        <v>3.0</v>
      </c>
      <c r="B1060" s="1" t="s">
        <v>1057</v>
      </c>
      <c r="C1060" t="str">
        <f>IFERROR(__xludf.DUMMYFUNCTION("GOOGLETRANSLATE(B1060, ""fr"", ""en"")"),"Basketball without more comfortable")</f>
        <v>Basketball without more comfortable</v>
      </c>
    </row>
    <row r="1061">
      <c r="A1061" s="1">
        <v>3.0</v>
      </c>
      <c r="B1061" s="1" t="s">
        <v>1058</v>
      </c>
      <c r="C1061" t="str">
        <f>IFERROR(__xludf.DUMMYFUNCTION("GOOGLETRANSLATE(B1061, ""fr"", ""en"")"),"What works well but still trying Gift of Christmas")</f>
        <v>What works well but still trying Gift of Christmas</v>
      </c>
    </row>
    <row r="1062">
      <c r="A1062" s="1">
        <v>4.0</v>
      </c>
      <c r="B1062" s="1" t="s">
        <v>1059</v>
      </c>
      <c r="C1062" t="str">
        <f>IFERROR(__xludf.DUMMYFUNCTION("GOOGLETRANSLATE(B1062, ""fr"", ""en"")"),"True Converse which suddenly size too Good quality leather. However, the shoe squeaks when you walk (to see the behavior in time). As for the size. Do get one size smaller than your usual size. I play 38 and I took a 37.5 a precaution (I fear it is too sm"&amp;"all). But I still have the margin. We really take 37 if you are doing 38.")</f>
        <v>True Converse which suddenly size too Good quality leather. However, the shoe squeaks when you walk (to see the behavior in time). As for the size. Do get one size smaller than your usual size. I play 38 and I took a 37.5 a precaution (I fear it is too small). But I still have the margin. We really take 37 if you are doing 38.</v>
      </c>
    </row>
    <row r="1063">
      <c r="A1063" s="1">
        <v>4.0</v>
      </c>
      <c r="B1063" s="1" t="s">
        <v>1060</v>
      </c>
      <c r="C1063" t="str">
        <f>IFERROR(__xludf.DUMMYFUNCTION("GOOGLETRANSLATE(B1063, ""fr"", ""en"")"),"Product that fits all very comfortable styles. elegant line. Easy maintenance. Missing a hint of style for glamor. Nothing to add the point.")</f>
        <v>Product that fits all very comfortable styles. elegant line. Easy maintenance. Missing a hint of style for glamor. Nothing to add the point.</v>
      </c>
    </row>
    <row r="1064">
      <c r="A1064" s="1">
        <v>4.0</v>
      </c>
      <c r="B1064" s="1" t="s">
        <v>1061</v>
      </c>
      <c r="C1064" t="str">
        <f>IFERROR(__xludf.DUMMYFUNCTION("GOOGLETRANSLATE(B1064, ""fr"", ""en"")"),"Incomplete Bottles books without lollipop .Unlike the image on the photo")</f>
        <v>Incomplete Bottles books without lollipop .Unlike the image on the photo</v>
      </c>
    </row>
    <row r="1065">
      <c r="A1065" s="1">
        <v>4.0</v>
      </c>
      <c r="B1065" s="1" t="s">
        <v>1062</v>
      </c>
      <c r="C1065" t="str">
        <f>IFERROR(__xludf.DUMMYFUNCTION("GOOGLETRANSLATE(B1065, ""fr"", ""en"")"),"Although carpenter My man and he works hard under the wind and greasy is ticherte its exchange him there and not going to problem recommending san problem")</f>
        <v>Although carpenter My man and he works hard under the wind and greasy is ticherte its exchange him there and not going to problem recommending san problem</v>
      </c>
    </row>
    <row r="1066">
      <c r="A1066" s="1">
        <v>4.0</v>
      </c>
      <c r="B1066" s="1" t="s">
        <v>1063</v>
      </c>
      <c r="C1066" t="str">
        <f>IFERROR(__xludf.DUMMYFUNCTION("GOOGLETRANSLATE(B1066, ""fr"", ""en"")"),"Nice bracelet with real stones Very good value, but the pearls are a bit small for my taste. Very nice finish and quality materials. reasonable delivery times. Message for the gentlemen: they may be too small for the male wrist")</f>
        <v>Nice bracelet with real stones Very good value, but the pearls are a bit small for my taste. Very nice finish and quality materials. reasonable delivery times. Message for the gentlemen: they may be too small for the male wrist</v>
      </c>
    </row>
    <row r="1067">
      <c r="A1067" s="1">
        <v>5.0</v>
      </c>
      <c r="B1067" s="1" t="s">
        <v>1064</v>
      </c>
      <c r="C1067" t="str">
        <f>IFERROR(__xludf.DUMMYFUNCTION("GOOGLETRANSLATE(B1067, ""fr"", ""en"")"),"comfortable shoes and beautiful I found these comfortable sneakers. Initially I was a little afraid of having taken too large (depending on the brand, I'm doing 38 or 39), but finally, in keeping the foot all day, I have had no problems. I found them real"&amp;"ly comfortable and they held up well. The color is beautiful and although I find the tapes a little bulky, this adds a feminine touch.")</f>
        <v>comfortable shoes and beautiful I found these comfortable sneakers. Initially I was a little afraid of having taken too large (depending on the brand, I'm doing 38 or 39), but finally, in keeping the foot all day, I have had no problems. I found them really comfortable and they held up well. The color is beautiful and although I find the tapes a little bulky, this adds a feminine touch.</v>
      </c>
    </row>
    <row r="1068">
      <c r="A1068" s="1">
        <v>5.0</v>
      </c>
      <c r="B1068" s="1" t="s">
        <v>1065</v>
      </c>
      <c r="C1068" t="str">
        <f>IFERROR(__xludf.DUMMYFUNCTION("GOOGLETRANSLATE(B1068, ""fr"", ""en"")"),"Super Good quality item. The tool provided with is not super strong but does the job to adjust the strap to your size. After 2 and a half months of daily use, the bracelet is still in very good condition.")</f>
        <v>Super Good quality item. The tool provided with is not super strong but does the job to adjust the strap to your size. After 2 and a half months of daily use, the bracelet is still in very good condition.</v>
      </c>
    </row>
    <row r="1069">
      <c r="A1069" s="1">
        <v>5.0</v>
      </c>
      <c r="B1069" s="1" t="s">
        <v>1066</v>
      </c>
      <c r="C1069" t="str">
        <f>IFERROR(__xludf.DUMMYFUNCTION("GOOGLETRANSLATE(B1069, ""fr"", ""en"")"),"Although Good bottle for infants with reflux and vomiting, however, my baby is doing best to breastfeed with flat style MAM pacifiers")</f>
        <v>Although Good bottle for infants with reflux and vomiting, however, my baby is doing best to breastfeed with flat style MAM pacifiers</v>
      </c>
    </row>
    <row r="1070">
      <c r="A1070" s="1">
        <v>5.0</v>
      </c>
      <c r="B1070" s="1" t="s">
        <v>1067</v>
      </c>
      <c r="C1070" t="str">
        <f>IFERROR(__xludf.DUMMYFUNCTION("GOOGLETRANSLATE(B1070, ""fr"", ""en"")"),"Perfect Converse high, white and canvas, received before the expected date, consistent description. Ordered 4.5 that is to say 37. Do not take size or above, or below, the shoes will eventually take the shape of the foot what.")</f>
        <v>Perfect Converse high, white and canvas, received before the expected date, consistent description. Ordered 4.5 that is to say 37. Do not take size or above, or below, the shoes will eventually take the shape of the foot what.</v>
      </c>
    </row>
    <row r="1071">
      <c r="A1071" s="1">
        <v>5.0</v>
      </c>
      <c r="B1071" s="1" t="s">
        <v>1068</v>
      </c>
      <c r="C1071" t="str">
        <f>IFERROR(__xludf.DUMMYFUNCTION("GOOGLETRANSLATE(B1071, ""fr"", ""en"")"),"Watch Great product very happy with the shows great finesse and great view to the eye EXCELLENT 20 of 20")</f>
        <v>Watch Great product very happy with the shows great finesse and great view to the eye EXCELLENT 20 of 20</v>
      </c>
    </row>
    <row r="1072">
      <c r="A1072" s="1">
        <v>5.0</v>
      </c>
      <c r="B1072" s="1" t="s">
        <v>1069</v>
      </c>
      <c r="C1072" t="str">
        <f>IFERROR(__xludf.DUMMYFUNCTION("GOOGLETRANSLATE(B1072, ""fr"", ""en"")"),"Wake the Light TOP I received the Awakening Effect Bright 2019 at FITFORT last week and I love it already !! Parcel reception on time. Although the board was completely torn, waking him was alive. 1 positive side it is easy to adjust (manual in French / c"&amp;"ontrol buttons accessible) in 15 minutes it's ready! 2nd positive point is aesthetics. Small futuristic touch on my bedside table. 3rd positive point I tested it as a lamp for reading at night and it's perfect! My husband asks me to turn off so he could s"&amp;"leep! 4th bright spot: I tested the simulation of sunrise, 10 minutes before the alarm time and it is TOP! Waking up by progressive light is really nice (I did not even need the chirp of birds). I think I am less tired and have more enthusiasm. Hope it la"&amp;"sts !! 5th positive: Power set an alarm time for the weekend and the week or stop this is handy. Sorry but I have not tested other features. Even if I use it only for 1 week, he has become an indispensable object. Why did not I bought earlier? (Especially"&amp;" at this price, it should be tested)")</f>
        <v>Wake the Light TOP I received the Awakening Effect Bright 2019 at FITFORT last week and I love it already !! Parcel reception on time. Although the board was completely torn, waking him was alive. 1 positive side it is easy to adjust (manual in French / control buttons accessible) in 15 minutes it's ready! 2nd positive point is aesthetics. Small futuristic touch on my bedside table. 3rd positive point I tested it as a lamp for reading at night and it's perfect! My husband asks me to turn off so he could sleep! 4th bright spot: I tested the simulation of sunrise, 10 minutes before the alarm time and it is TOP! Waking up by progressive light is really nice (I did not even need the chirp of birds). I think I am less tired and have more enthusiasm. Hope it lasts !! 5th positive: Power set an alarm time for the weekend and the week or stop this is handy. Sorry but I have not tested other features. Even if I use it only for 1 week, he has become an indispensable object. Why did not I bought earlier? (Especially at this price, it should be tested)</v>
      </c>
    </row>
    <row r="1073">
      <c r="A1073" s="1">
        <v>5.0</v>
      </c>
      <c r="B1073" s="1" t="s">
        <v>1070</v>
      </c>
      <c r="C1073" t="str">
        <f>IFERROR(__xludf.DUMMYFUNCTION("GOOGLETRANSLATE(B1073, ""fr"", ""en"")"),"The important capacity. Good brand, a bit heavy as kettle, attention to the limestone after 5 days, they were deposited at the bottom. Put the white wine vinegar, wait twenty minutes, and rinse.")</f>
        <v>The important capacity. Good brand, a bit heavy as kettle, attention to the limestone after 5 days, they were deposited at the bottom. Put the white wine vinegar, wait twenty minutes, and rinse.</v>
      </c>
    </row>
    <row r="1074">
      <c r="A1074" s="1">
        <v>5.0</v>
      </c>
      <c r="B1074" s="1" t="s">
        <v>1071</v>
      </c>
      <c r="C1074" t="str">
        <f>IFERROR(__xludf.DUMMYFUNCTION("GOOGLETRANSLATE(B1074, ""fr"", ""en"")"),"handy person to whom I have to offer is really happy, this kettle is small, perfect for a person who drinks tea often.")</f>
        <v>handy person to whom I have to offer is really happy, this kettle is small, perfect for a person who drinks tea often.</v>
      </c>
    </row>
    <row r="1075">
      <c r="A1075" s="1">
        <v>5.0</v>
      </c>
      <c r="B1075" s="1" t="s">
        <v>1072</v>
      </c>
      <c r="C1075" t="str">
        <f>IFERROR(__xludf.DUMMYFUNCTION("GOOGLETRANSLATE(B1075, ""fr"", ""en"")"),"excellent qualities In cartridges beginning I had a doubt to use these cartridges in my printer that is new so I replace lorqu were empty cartridges CANON origins. I have the pictures are stunning in color and protection of cartridges before putting it in"&amp;"to the printer is as good as the original Canon. I made another order of these cartridges.")</f>
        <v>excellent qualities In cartridges beginning I had a doubt to use these cartridges in my printer that is new so I replace lorqu were empty cartridges CANON origins. I have the pictures are stunning in color and protection of cartridges before putting it into the printer is as good as the original Canon. I made another order of these cartridges.</v>
      </c>
    </row>
    <row r="1076">
      <c r="A1076" s="1">
        <v>5.0</v>
      </c>
      <c r="B1076" s="1" t="s">
        <v>1073</v>
      </c>
      <c r="C1076" t="str">
        <f>IFERROR(__xludf.DUMMYFUNCTION("GOOGLETRANSLATE(B1076, ""fr"", ""en"")"),"Very satisfied with my purchase very beautiful very light I like fast delivery thank you Amazon just I'm 39 I got 40 I recommend this product I bought for my daughter as he took 24 i 25 is battery hair")</f>
        <v>Very satisfied with my purchase very beautiful very light I like fast delivery thank you Amazon just I'm 39 I got 40 I recommend this product I bought for my daughter as he took 24 i 25 is battery hair</v>
      </c>
    </row>
    <row r="1077">
      <c r="A1077" s="1">
        <v>5.0</v>
      </c>
      <c r="B1077" s="1" t="s">
        <v>1074</v>
      </c>
      <c r="C1077" t="str">
        <f>IFERROR(__xludf.DUMMYFUNCTION("GOOGLETRANSLATE(B1077, ""fr"", ""en"")"),"A must massage This is THE reference massage product It smells good, rubbing his hands with the oil heats up for a massage more relaxing. In short: it's a big container and it's good to see home")</f>
        <v>A must massage This is THE reference massage product It smells good, rubbing his hands with the oil heats up for a massage more relaxing. In short: it's a big container and it's good to see home</v>
      </c>
    </row>
    <row r="1078">
      <c r="A1078" s="1">
        <v>5.0</v>
      </c>
      <c r="B1078" s="1" t="s">
        <v>1075</v>
      </c>
      <c r="C1078" t="str">
        <f>IFERROR(__xludf.DUMMYFUNCTION("GOOGLETRANSLATE(B1078, ""fr"", ""en"")"),"Excellent neutral headphones I use it every day to go to work, it is very comfortable. For over a year since I bought it, it shows no signs of wear. The cable is very good, one of my former Beyer Dynamic P51 lasted only one year and was not replaced. His "&amp;"side is top, a neutral sound that bass do not score. It has nothing to envy in my studio headphones that I use at home, the Shure SRH840. By insulates against it not from outside and is perfect for small head. I urge you, I can not live without it!")</f>
        <v>Excellent neutral headphones I use it every day to go to work, it is very comfortable. For over a year since I bought it, it shows no signs of wear. The cable is very good, one of my former Beyer Dynamic P51 lasted only one year and was not replaced. His side is top, a neutral sound that bass do not score. It has nothing to envy in my studio headphones that I use at home, the Shure SRH840. By insulates against it not from outside and is perfect for small head. I urge you, I can not live without it!</v>
      </c>
    </row>
    <row r="1079">
      <c r="A1079" s="1">
        <v>5.0</v>
      </c>
      <c r="B1079" s="1" t="s">
        <v>1076</v>
      </c>
      <c r="C1079" t="str">
        <f>IFERROR(__xludf.DUMMYFUNCTION("GOOGLETRANSLATE(B1079, ""fr"", ""en"")"),"Good value quality price very well by cons I took my daughter because M makes the S wanted a loose end but suddenly its been between two (SM) so if you want looser I advise you to take L. the picture is poor quality sorry. My daughter 1m65 able to give yo"&amp;"u an idea.")</f>
        <v>Good value quality price very well by cons I took my daughter because M makes the S wanted a loose end but suddenly its been between two (SM) so if you want looser I advise you to take L. the picture is poor quality sorry. My daughter 1m65 able to give you an idea.</v>
      </c>
    </row>
    <row r="1080">
      <c r="A1080" s="1">
        <v>5.0</v>
      </c>
      <c r="B1080" s="1" t="s">
        <v>1077</v>
      </c>
      <c r="C1080" t="str">
        <f>IFERROR(__xludf.DUMMYFUNCTION("GOOGLETRANSLATE(B1080, ""fr"", ""en"")"),"Very satisfied T-shirt very good quality, very good for the sport, or to go out, although size and style is very nice, I recommend")</f>
        <v>Very satisfied T-shirt very good quality, very good for the sport, or to go out, although size and style is very nice, I recommend</v>
      </c>
    </row>
    <row r="1081">
      <c r="A1081" s="1">
        <v>5.0</v>
      </c>
      <c r="B1081" s="1" t="s">
        <v>1078</v>
      </c>
      <c r="C1081" t="str">
        <f>IFERROR(__xludf.DUMMYFUNCTION("GOOGLETRANSLATE(B1081, ""fr"", ""en"")"),"Perfect for Perfect for offer and offer space saving!")</f>
        <v>Perfect for Perfect for offer and offer space saving!</v>
      </c>
    </row>
    <row r="1082">
      <c r="A1082" s="1">
        <v>2.0</v>
      </c>
      <c r="B1082" s="1" t="s">
        <v>1079</v>
      </c>
      <c r="C1082" t="str">
        <f>IFERROR(__xludf.DUMMYFUNCTION("GOOGLETRANSLATE(B1082, ""fr"", ""en"")"),"Lack of precision ?? I had not had any problems operating so far, but recently, I think it works poorly. I am willing to accept a difference of 1 ° C or 2 ° C compared to the weather, but there is a gap of 9 ° C, this is too much. Maybe I misplaced? Howev"&amp;"er, the external module is predominantly in the shade (photo) and located about 5 meters of the internal module. It is only me who has this problem?")</f>
        <v>Lack of precision ?? I had not had any problems operating so far, but recently, I think it works poorly. I am willing to accept a difference of 1 ° C or 2 ° C compared to the weather, but there is a gap of 9 ° C, this is too much. Maybe I misplaced? However, the external module is predominantly in the shade (photo) and located about 5 meters of the internal module. It is only me who has this problem?</v>
      </c>
    </row>
    <row r="1083">
      <c r="A1083" s="1">
        <v>1.0</v>
      </c>
      <c r="B1083" s="1" t="s">
        <v>1080</v>
      </c>
      <c r="C1083" t="str">
        <f>IFERROR(__xludf.DUMMYFUNCTION("GOOGLETRANSLATE(B1083, ""fr"", ""en"")"),"DOES NOT WORK AT ALL! A FLEE After 2 months of use, does not work at all. Planned obsolescence ? It is an expensive product. I'll buy one elsewhere. If you have suggestions, I'm interested. Thank you !")</f>
        <v>DOES NOT WORK AT ALL! A FLEE After 2 months of use, does not work at all. Planned obsolescence ? It is an expensive product. I'll buy one elsewhere. If you have suggestions, I'm interested. Thank you !</v>
      </c>
    </row>
    <row r="1084">
      <c r="A1084" s="1">
        <v>1.0</v>
      </c>
      <c r="B1084" s="1" t="s">
        <v>1081</v>
      </c>
      <c r="C1084" t="str">
        <f>IFERROR(__xludf.DUMMYFUNCTION("GOOGLETRANSLATE(B1084, ""fr"", ""en"")"),"No T-shirts Hi I just received my order, to my surprise it n there was nothing inside the box! This is intolerable, I hope you find a solution to my problem. cordially")</f>
        <v>No T-shirts Hi I just received my order, to my surprise it n there was nothing inside the box! This is intolerable, I hope you find a solution to my problem. cordially</v>
      </c>
    </row>
    <row r="1085">
      <c r="A1085" s="1">
        <v>3.0</v>
      </c>
      <c r="B1085" s="1" t="s">
        <v>1082</v>
      </c>
      <c r="C1085" t="str">
        <f>IFERROR(__xludf.DUMMYFUNCTION("GOOGLETRANSLATE(B1085, ""fr"", ""en"")"),"A little gem Beautiful little bit small for a wristband pandora.Bien shiny largest mieux.Se was lost among the other charms of the bracelet that remain visible.")</f>
        <v>A little gem Beautiful little bit small for a wristband pandora.Bien shiny largest mieux.Se was lost among the other charms of the bracelet that remain visible.</v>
      </c>
    </row>
    <row r="1086">
      <c r="A1086" s="1">
        <v>3.0</v>
      </c>
      <c r="B1086" s="1" t="s">
        <v>1083</v>
      </c>
      <c r="C1086" t="str">
        <f>IFERROR(__xludf.DUMMYFUNCTION("GOOGLETRANSLATE(B1086, ""fr"", ""en"")"),"Ink cartridge cartridges are good, the problem is the price that I find exaggerated, when we know the price of the printer itself, there is nothing to ask questions. Nevertheless, the offer here is interesting.")</f>
        <v>Ink cartridge cartridges are good, the problem is the price that I find exaggerated, when we know the price of the printer itself, there is nothing to ask questions. Nevertheless, the offer here is interesting.</v>
      </c>
    </row>
    <row r="1087">
      <c r="A1087" s="1">
        <v>4.0</v>
      </c>
      <c r="B1087" s="1" t="s">
        <v>1084</v>
      </c>
      <c r="C1087" t="str">
        <f>IFERROR(__xludf.DUMMYFUNCTION("GOOGLETRANSLATE(B1087, ""fr"", ""en"")"),"comfort to the place of the step, when walking.")</f>
        <v>comfort to the place of the step, when walking.</v>
      </c>
    </row>
    <row r="1088">
      <c r="A1088" s="1">
        <v>4.0</v>
      </c>
      <c r="B1088" s="1" t="s">
        <v>1085</v>
      </c>
      <c r="C1088" t="str">
        <f>IFERROR(__xludf.DUMMYFUNCTION("GOOGLETRANSLATE(B1088, ""fr"", ""en"")"),"pretty curls ears of a very nice pair of earrings, beautiful shine stones, damage the metal is very golden, this really feels like a pretty costume jewelery and not a ""real gem ""but the quality / price is really worth it to have fun, I do not regret my "&amp;"purchase")</f>
        <v>pretty curls ears of a very nice pair of earrings, beautiful shine stones, damage the metal is very golden, this really feels like a pretty costume jewelery and not a "real gem "but the quality / price is really worth it to have fun, I do not regret my purchase</v>
      </c>
    </row>
    <row r="1089">
      <c r="A1089" s="1">
        <v>4.0</v>
      </c>
      <c r="B1089" s="1" t="s">
        <v>1086</v>
      </c>
      <c r="C1089" t="str">
        <f>IFERROR(__xludf.DUMMYFUNCTION("GOOGLETRANSLATE(B1089, ""fr"", ""en"")"),"Good but expensive Good product but expensive, attention, the cans are sold individually !!")</f>
        <v>Good but expensive Good product but expensive, attention, the cans are sold individually !!</v>
      </c>
    </row>
    <row r="1090">
      <c r="A1090" s="1">
        <v>4.0</v>
      </c>
      <c r="B1090" s="1" t="s">
        <v>1087</v>
      </c>
      <c r="C1090" t="str">
        <f>IFERROR(__xludf.DUMMYFUNCTION("GOOGLETRANSLATE(B1090, ""fr"", ""en"")"),"Perfectly perfect !! Watch wood, perfect a little larger than expected, but is largely the case I recommend it the watch is light")</f>
        <v>Perfectly perfect !! Watch wood, perfect a little larger than expected, but is largely the case I recommend it the watch is light</v>
      </c>
    </row>
    <row r="1091">
      <c r="A1091" s="1">
        <v>5.0</v>
      </c>
      <c r="B1091" s="1" t="s">
        <v>1088</v>
      </c>
      <c r="C1091" t="str">
        <f>IFERROR(__xludf.DUMMYFUNCTION("GOOGLETRANSLATE(B1091, ""fr"", ""en"")"),"good quality footwear priced mini shoes are of good quality and comfortable. They absorb shock well and take good feet. You have nothing to lose to buy these shoes because of the price (33 €) and you'll even be surprised! To recommend.")</f>
        <v>good quality footwear priced mini shoes are of good quality and comfortable. They absorb shock well and take good feet. You have nothing to lose to buy these shoes because of the price (33 €) and you'll even be surprised! To recommend.</v>
      </c>
    </row>
    <row r="1092">
      <c r="A1092" s="1">
        <v>5.0</v>
      </c>
      <c r="B1092" s="1" t="s">
        <v>1089</v>
      </c>
      <c r="C1092" t="str">
        <f>IFERROR(__xludf.DUMMYFUNCTION("GOOGLETRANSLATE(B1092, ""fr"", ""en"")"),"very good product Parcels delivered in one day. Very nice little package, nice design. Many choices of scents. Every night, I change my scent diffuser. 5 drops barely enough to spread a nice smell in the house for several hours. I highly recommend this pr"&amp;"oduct. quality / price ratio.")</f>
        <v>very good product Parcels delivered in one day. Very nice little package, nice design. Many choices of scents. Every night, I change my scent diffuser. 5 drops barely enough to spread a nice smell in the house for several hours. I highly recommend this product. quality / price ratio.</v>
      </c>
    </row>
    <row r="1093">
      <c r="A1093" s="1">
        <v>5.0</v>
      </c>
      <c r="B1093" s="1" t="s">
        <v>1090</v>
      </c>
      <c r="C1093" t="str">
        <f>IFERROR(__xludf.DUMMYFUNCTION("GOOGLETRANSLATE(B1093, ""fr"", ""en"")"),"Comfortable and cheap for work at home I'm 1.80m and 100kg, I work with pretty high-end chairs in the computer world for over 20 years, this to leave a mark. The chair is very comfortable and does its job. The back is well supported. The flexibility and s"&amp;"tiffness of the assembly is not the equivalent of a pro chair but comes close and allows to work without concern for long hours. The coating as the rest is very ""plastic"" and can hinder you if you are in search of quality in materials. The installation "&amp;"folder is the most difficult, and to succeed alone simply not tighten anything until you put all the screws. The most real are the retractable armrests and comfort of use are still very far above the asking price. Good shopping at all.")</f>
        <v>Comfortable and cheap for work at home I'm 1.80m and 100kg, I work with pretty high-end chairs in the computer world for over 20 years, this to leave a mark. The chair is very comfortable and does its job. The back is well supported. The flexibility and stiffness of the assembly is not the equivalent of a pro chair but comes close and allows to work without concern for long hours. The coating as the rest is very "plastic" and can hinder you if you are in search of quality in materials. The installation folder is the most difficult, and to succeed alone simply not tighten anything until you put all the screws. The most real are the retractable armrests and comfort of use are still very far above the asking price. Good shopping at all.</v>
      </c>
    </row>
    <row r="1094">
      <c r="A1094" s="1">
        <v>5.0</v>
      </c>
      <c r="B1094" s="1" t="s">
        <v>1091</v>
      </c>
      <c r="C1094" t="str">
        <f>IFERROR(__xludf.DUMMYFUNCTION("GOOGLETRANSLATE(B1094, ""fr"", ""en"")"),"Beautiful Necklace arrived on time, very beautiful, in a beautiful setting. I am glad.")</f>
        <v>Beautiful Necklace arrived on time, very beautiful, in a beautiful setting. I am glad.</v>
      </c>
    </row>
    <row r="1095">
      <c r="A1095" s="1">
        <v>5.0</v>
      </c>
      <c r="B1095" s="1" t="s">
        <v>1092</v>
      </c>
      <c r="C1095" t="str">
        <f>IFERROR(__xludf.DUMMYFUNCTION("GOOGLETRANSLATE(B1095, ""fr"", ""en"")"),"Okay Small, pretty and practical")</f>
        <v>Okay Small, pretty and practical</v>
      </c>
    </row>
    <row r="1096">
      <c r="A1096" s="1">
        <v>5.0</v>
      </c>
      <c r="B1096" s="1" t="s">
        <v>1093</v>
      </c>
      <c r="C1096" t="str">
        <f>IFERROR(__xludf.DUMMYFUNCTION("GOOGLETRANSLATE(B1096, ""fr"", ""en"")"),"Kit Very good product, good quality. Big enough you can put a lot of business.")</f>
        <v>Kit Very good product, good quality. Big enough you can put a lot of business.</v>
      </c>
    </row>
    <row r="1097">
      <c r="A1097" s="1">
        <v>5.0</v>
      </c>
      <c r="B1097" s="1" t="s">
        <v>1094</v>
      </c>
      <c r="C1097" t="str">
        <f>IFERROR(__xludf.DUMMYFUNCTION("GOOGLETRANSLATE(B1097, ""fr"", ""en"")"),"good product for the price !! For the price frankly nothing wrong at the moment, it looks pretty solid area, the soft touch is pleasant to use, the pots do not make any noise. OK this is not a product for the ""pro"", but that drives me 15 years and by ev"&amp;"ening ui am not a fan of scratching it suit me perfectly. The program comes with working correctly. Note that for use with virtual DJ must pay almost $ 100 !! In short I recommend to anyone who simply want to mix a small price !!")</f>
        <v>good product for the price !! For the price frankly nothing wrong at the moment, it looks pretty solid area, the soft touch is pleasant to use, the pots do not make any noise. OK this is not a product for the "pro", but that drives me 15 years and by evening ui am not a fan of scratching it suit me perfectly. The program comes with working correctly. Note that for use with virtual DJ must pay almost $ 100 !! In short I recommend to anyone who simply want to mix a small price !!</v>
      </c>
    </row>
    <row r="1098">
      <c r="A1098" s="1">
        <v>5.0</v>
      </c>
      <c r="B1098" s="1" t="s">
        <v>1095</v>
      </c>
      <c r="C1098" t="str">
        <f>IFERROR(__xludf.DUMMYFUNCTION("GOOGLETRANSLATE(B1098, ""fr"", ""en"")"),"top gift")</f>
        <v>top gift</v>
      </c>
    </row>
    <row r="1099">
      <c r="A1099" s="1">
        <v>5.0</v>
      </c>
      <c r="B1099" s="1" t="s">
        <v>1096</v>
      </c>
      <c r="C1099" t="str">
        <f>IFERROR(__xludf.DUMMYFUNCTION("GOOGLETRANSLATE(B1099, ""fr"", ""en"")"),"Continued First test in 3 days")</f>
        <v>Continued First test in 3 days</v>
      </c>
    </row>
    <row r="1100">
      <c r="A1100" s="1">
        <v>5.0</v>
      </c>
      <c r="B1100" s="1" t="s">
        <v>1097</v>
      </c>
      <c r="C1100" t="str">
        <f>IFERROR(__xludf.DUMMYFUNCTION("GOOGLETRANSLATE(B1100, ""fr"", ""en"")"),"RAS. RAS.")</f>
        <v>RAS. RAS.</v>
      </c>
    </row>
    <row r="1101">
      <c r="A1101" s="1">
        <v>5.0</v>
      </c>
      <c r="B1101" s="1" t="s">
        <v>1098</v>
      </c>
      <c r="C1101" t="str">
        <f>IFERROR(__xludf.DUMMYFUNCTION("GOOGLETRANSLATE(B1101, ""fr"", ""en"")"),"Ok quality price level, unbeatable. It does its job ...")</f>
        <v>Ok quality price level, unbeatable. It does its job ...</v>
      </c>
    </row>
    <row r="1102">
      <c r="A1102" s="1">
        <v>5.0</v>
      </c>
      <c r="B1102" s="1" t="s">
        <v>1099</v>
      </c>
      <c r="C1102" t="str">
        <f>IFERROR(__xludf.DUMMYFUNCTION("GOOGLETRANSLATE(B1102, ""fr"", ""en"")"),"Cleaning superb parfait.odeur The smell is just superbe.ca feels great bon.ça leaves smell throughout maison.c'est agréable.et it very well cleans vetements.impeccable")</f>
        <v>Cleaning superb parfait.odeur The smell is just superbe.ca feels great bon.ça leaves smell throughout maison.c'est agréable.et it very well cleans vetements.impeccable</v>
      </c>
    </row>
    <row r="1103">
      <c r="A1103" s="1">
        <v>5.0</v>
      </c>
      <c r="B1103" s="1" t="s">
        <v>1100</v>
      </c>
      <c r="C1103" t="str">
        <f>IFERROR(__xludf.DUMMYFUNCTION("GOOGLETRANSLATE(B1103, ""fr"", ""en"")"),"PEACE OF HOUSEHOLDS first great thank you to Anthony, Moloko, Alexia, Fafaletek and Patrick who responded to my question: thanks to this small community Amazon I bought without fear ... and offers reconditioned! lacking only the packaging damaged. Result:"&amp;" title! peace household! each his helmet! I keep ""my"" 770 for ""my"" PC, it keeps ""his"" 990 for ""his"" stereo ..and everyone is satisfied according to their needs; features quite meet what came to my attention, I have to add that it is an open helmet"&amp;" for comfort, but it does not obstruct the whole entourage, the scene is more broader than the 770: it is better suited for symphonic music by ex.Et the quality / price is very satisfactory; Now, headphones, it also depends ears we put in, c'pas?")</f>
        <v>PEACE OF HOUSEHOLDS first great thank you to Anthony, Moloko, Alexia, Fafaletek and Patrick who responded to my question: thanks to this small community Amazon I bought without fear ... and offers reconditioned! lacking only the packaging damaged. Result: title! peace household! each his helmet! I keep "my" 770 for "my" PC, it keeps "his" 990 for "his" stereo ..and everyone is satisfied according to their needs; features quite meet what came to my attention, I have to add that it is an open helmet for comfort, but it does not obstruct the whole entourage, the scene is more broader than the 770: it is better suited for symphonic music by ex.Et the quality / price is very satisfactory; Now, headphones, it also depends ears we put in, c'pas?</v>
      </c>
    </row>
    <row r="1104">
      <c r="A1104" s="1">
        <v>5.0</v>
      </c>
      <c r="B1104" s="1" t="s">
        <v>1101</v>
      </c>
      <c r="C1104" t="str">
        <f>IFERROR(__xludf.DUMMYFUNCTION("GOOGLETRANSLATE(B1104, ""fr"", ""en"")"),"Perfect I buy only what sports bra, it supports good, good quality and comfortable to wear, do not overwrite the chest.")</f>
        <v>Perfect I buy only what sports bra, it supports good, good quality and comfortable to wear, do not overwrite the chest.</v>
      </c>
    </row>
    <row r="1105">
      <c r="A1105" s="1">
        <v>5.0</v>
      </c>
      <c r="B1105" s="1" t="s">
        <v>1102</v>
      </c>
      <c r="C1105" t="str">
        <f>IFERROR(__xludf.DUMMYFUNCTION("GOOGLETRANSLATE(B1105, ""fr"", ""en"")"),"Very good product very beautiful and practical slippers because thanks to the sole of height if you must go outside occasionally wet weather we did not wet feet. The size corresponds well to the ordered course leather relaxes a bit and it's easy to put af"&amp;"ter several days.")</f>
        <v>Very good product very beautiful and practical slippers because thanks to the sole of height if you must go outside occasionally wet weather we did not wet feet. The size corresponds well to the ordered course leather relaxes a bit and it's easy to put after several days.</v>
      </c>
    </row>
    <row r="1106">
      <c r="A1106" s="1">
        <v>5.0</v>
      </c>
      <c r="B1106" s="1" t="s">
        <v>1103</v>
      </c>
      <c r="C1106" t="str">
        <f>IFERROR(__xludf.DUMMYFUNCTION("GOOGLETRANSLATE(B1106, ""fr"", ""en"")"),"the perfect polish of the right color. ie dark purple that matches the color of the shoes purchased later.")</f>
        <v>the perfect polish of the right color. ie dark purple that matches the color of the shoes purchased later.</v>
      </c>
    </row>
    <row r="1107">
      <c r="A1107" s="1">
        <v>2.0</v>
      </c>
      <c r="B1107" s="1" t="s">
        <v>1104</v>
      </c>
      <c r="C1107" t="str">
        <f>IFERROR(__xludf.DUMMYFUNCTION("GOOGLETRANSLATE(B1107, ""fr"", ""en"")"),"Box and popping dirty nickel Jewelery is frankly good, but there can is completely burst, full of dirty grease from mechanical and damage. I do not recommend it for a gift.")</f>
        <v>Box and popping dirty nickel Jewelery is frankly good, but there can is completely burst, full of dirty grease from mechanical and damage. I do not recommend it for a gift.</v>
      </c>
    </row>
    <row r="1108">
      <c r="A1108" s="1">
        <v>1.0</v>
      </c>
      <c r="B1108" s="1" t="s">
        <v>1105</v>
      </c>
      <c r="C1108" t="str">
        <f>IFERROR(__xludf.DUMMYFUNCTION("GOOGLETRANSLATE(B1108, ""fr"", ""en"")"),"Very disappointed no size guide for all Panzeri products sold by this company. So, the model I chose was too small. So back to my expenses section and after a week still no refund. Besides shipping was quite long. This is not a vendor that I can recommend"&amp;".")</f>
        <v>Very disappointed no size guide for all Panzeri products sold by this company. So, the model I chose was too small. So back to my expenses section and after a week still no refund. Besides shipping was quite long. This is not a vendor that I can recommend.</v>
      </c>
    </row>
    <row r="1109">
      <c r="A1109" s="1">
        <v>1.0</v>
      </c>
      <c r="B1109" s="1" t="s">
        <v>1106</v>
      </c>
      <c r="C1109" t="str">
        <f>IFERROR(__xludf.DUMMYFUNCTION("GOOGLETRANSLATE(B1109, ""fr"", ""en"")"),"Unusable This cable is simply unusable. It's not all armored and nothing but the fact of the move causes horrible interference.")</f>
        <v>Unusable This cable is simply unusable. It's not all armored and nothing but the fact of the move causes horrible interference.</v>
      </c>
    </row>
    <row r="1110">
      <c r="A1110" s="1">
        <v>3.0</v>
      </c>
      <c r="B1110" s="1" t="s">
        <v>1107</v>
      </c>
      <c r="C1110" t="str">
        <f>IFERROR(__xludf.DUMMYFUNCTION("GOOGLETRANSLATE(B1110, ""fr"", ""en"")"),"Too long but comfortable to wear Comfortable to wear very soft because that damage is too long can almost mid thigh")</f>
        <v>Too long but comfortable to wear Comfortable to wear very soft because that damage is too long can almost mid thigh</v>
      </c>
    </row>
    <row r="1111">
      <c r="A1111" s="1">
        <v>3.0</v>
      </c>
      <c r="B1111" s="1" t="s">
        <v>1108</v>
      </c>
      <c r="C1111" t="str">
        <f>IFERROR(__xludf.DUMMYFUNCTION("GOOGLETRANSLATE(B1111, ""fr"", ""en"")"),"Mixed Super level lumps problem resolved but against very annoying that it is unscrewed all the time c is the high quality we will say it is necessary that he is working on it would be better to just have the anti lumps tip and that it takes more 2 that t"&amp;"hat so patiently unscrewed but it's worth it not to see baby cry because it does not pass in the nipple but hand washing as not having recup top of the tip into the bib")</f>
        <v>Mixed Super level lumps problem resolved but against very annoying that it is unscrewed all the time c is the high quality we will say it is necessary that he is working on it would be better to just have the anti lumps tip and that it takes more 2 that that so patiently unscrewed but it's worth it not to see baby cry because it does not pass in the nipple but hand washing as not having recup top of the tip into the bib</v>
      </c>
    </row>
    <row r="1112">
      <c r="A1112" s="1">
        <v>4.0</v>
      </c>
      <c r="B1112" s="1" t="s">
        <v>1109</v>
      </c>
      <c r="C1112" t="str">
        <f>IFERROR(__xludf.DUMMYFUNCTION("GOOGLETRANSLATE(B1112, ""fr"", ""en"")"),"Good quality. Otherwise the washable diapers are not so convenient. I use them since 2010 and my 3 girls were washable layer. Remember that these sheets can be washed if only pee. They are adapted to the first month of baby, then you can move on thinner s"&amp;"heets.")</f>
        <v>Good quality. Otherwise the washable diapers are not so convenient. I use them since 2010 and my 3 girls were washable layer. Remember that these sheets can be washed if only pee. They are adapted to the first month of baby, then you can move on thinner sheets.</v>
      </c>
    </row>
    <row r="1113">
      <c r="A1113" s="1">
        <v>4.0</v>
      </c>
      <c r="B1113" s="1" t="s">
        <v>1110</v>
      </c>
      <c r="C1113" t="str">
        <f>IFERROR(__xludf.DUMMYFUNCTION("GOOGLETRANSLATE(B1113, ""fr"", ""en"")"),"Quite honestly it's clear she's hot, pr the price it's not a brand so it has it all, I would like bcp comments a flat pr link used to close .... C is galley to close.")</f>
        <v>Quite honestly it's clear she's hot, pr the price it's not a brand so it has it all, I would like bcp comments a flat pr link used to close .... C is galley to close.</v>
      </c>
    </row>
    <row r="1114">
      <c r="A1114" s="1">
        <v>4.0</v>
      </c>
      <c r="B1114" s="1" t="s">
        <v>1111</v>
      </c>
      <c r="C1114" t="str">
        <f>IFERROR(__xludf.DUMMYFUNCTION("GOOGLETRANSLATE(B1114, ""fr"", ""en"")"),"value for money on top! Purchased in light beige during sales so unbeatable prices, and puma are super comfortable. Received quickly and well packaged.")</f>
        <v>value for money on top! Purchased in light beige during sales so unbeatable prices, and puma are super comfortable. Received quickly and well packaged.</v>
      </c>
    </row>
    <row r="1115">
      <c r="A1115" s="1">
        <v>4.0</v>
      </c>
      <c r="B1115" s="1" t="s">
        <v>1112</v>
      </c>
      <c r="C1115" t="str">
        <f>IFERROR(__xludf.DUMMYFUNCTION("GOOGLETRANSLATE(B1115, ""fr"", ""en"")"),"WELL I recommend this article. Corresponds to the announcement. Pleasant to touch. Handsome. Nothing else to report. Good day to you.")</f>
        <v>WELL I recommend this article. Corresponds to the announcement. Pleasant to touch. Handsome. Nothing else to report. Good day to you.</v>
      </c>
    </row>
    <row r="1116">
      <c r="A1116" s="1">
        <v>5.0</v>
      </c>
      <c r="B1116" s="1" t="s">
        <v>1113</v>
      </c>
      <c r="C1116" t="str">
        <f>IFERROR(__xludf.DUMMYFUNCTION("GOOGLETRANSLATE(B1116, ""fr"", ""en"")"),"High-end product I bought this for my son graphing calculator, which enters high school. This is the one recommended by the National Education and understands. Real computer, this calculator will follow my son to the ferry, and even then, according to the"&amp;" studies he chooses. This is a good price / quality, nothing to say.")</f>
        <v>High-end product I bought this for my son graphing calculator, which enters high school. This is the one recommended by the National Education and understands. Real computer, this calculator will follow my son to the ferry, and even then, according to the studies he chooses. This is a good price / quality, nothing to say.</v>
      </c>
    </row>
    <row r="1117">
      <c r="A1117" s="1">
        <v>5.0</v>
      </c>
      <c r="B1117" s="1" t="s">
        <v>1114</v>
      </c>
      <c r="C1117" t="str">
        <f>IFERROR(__xludf.DUMMYFUNCTION("GOOGLETRANSLATE(B1117, ""fr"", ""en"")"),"Genial! I am very pleased with these headphones with the in-ear design. These headphones are exceptional for the price!")</f>
        <v>Genial! I am very pleased with these headphones with the in-ear design. These headphones are exceptional for the price!</v>
      </c>
    </row>
    <row r="1118">
      <c r="A1118" s="1">
        <v>5.0</v>
      </c>
      <c r="B1118" s="1" t="s">
        <v>1115</v>
      </c>
      <c r="C1118" t="str">
        <f>IFERROR(__xludf.DUMMYFUNCTION("GOOGLETRANSLATE(B1118, ""fr"", ""en"")"),"Very nice I bought this massage device for small sore neck, and I admit that it's very nice. Already its shape allows good the wedge against the chair back. Then, once running, it produces a firm massage, but gently. The heat that diffuses is very soft, i"&amp;"t does not burn. It can be used with or without heat emission, direct contact with the skin or through clothing (at this time, the heat is not felt, but the massage is very soft). A strap behind the massage cushion, and so it can be fixed on top of a chai"&amp;"r for massaging the neck or on the headrest of the car. In this regard, a cigarette lighter socket is provided to feed when in car. Practicing running quite intensively, I used to massage my thighs after a trail quite challenging, and I must say it made m"&amp;"e ease recovery. For me, it's a good product!")</f>
        <v>Very nice I bought this massage device for small sore neck, and I admit that it's very nice. Already its shape allows good the wedge against the chair back. Then, once running, it produces a firm massage, but gently. The heat that diffuses is very soft, it does not burn. It can be used with or without heat emission, direct contact with the skin or through clothing (at this time, the heat is not felt, but the massage is very soft). A strap behind the massage cushion, and so it can be fixed on top of a chair for massaging the neck or on the headrest of the car. In this regard, a cigarette lighter socket is provided to feed when in car. Practicing running quite intensively, I used to massage my thighs after a trail quite challenging, and I must say it made me ease recovery. For me, it's a good product!</v>
      </c>
    </row>
    <row r="1119">
      <c r="A1119" s="1">
        <v>5.0</v>
      </c>
      <c r="B1119" s="1" t="s">
        <v>1116</v>
      </c>
      <c r="C1119" t="str">
        <f>IFERROR(__xludf.DUMMYFUNCTION("GOOGLETRANSLATE(B1119, ""fr"", ""en"")"),"an order for a girlfriend my girlfriend was delighted She came home with me well and showed how she was comfortable with!")</f>
        <v>an order for a girlfriend my girlfriend was delighted She came home with me well and showed how she was comfortable with!</v>
      </c>
    </row>
    <row r="1120">
      <c r="A1120" s="1">
        <v>5.0</v>
      </c>
      <c r="B1120" s="1" t="s">
        <v>1117</v>
      </c>
      <c r="C1120" t="str">
        <f>IFERROR(__xludf.DUMMYFUNCTION("GOOGLETRANSLATE(B1120, ""fr"", ""en"")"),"Very well . Received on time. These socks correspondes was what I expected. I use them for walking and cycling, it is comfortable and very solid. I suggest you wash them at least one liver before the slip, or they will be a little stiff. So no nasty surpr"&amp;"ises, is Puma. I recommended you, especially for the price they are sold here. Jean 34.")</f>
        <v>Very well . Received on time. These socks correspondes was what I expected. I use them for walking and cycling, it is comfortable and very solid. I suggest you wash them at least one liver before the slip, or they will be a little stiff. So no nasty surprises, is Puma. I recommended you, especially for the price they are sold here. Jean 34.</v>
      </c>
    </row>
    <row r="1121">
      <c r="A1121" s="1">
        <v>5.0</v>
      </c>
      <c r="B1121" s="1" t="s">
        <v>1118</v>
      </c>
      <c r="C1121" t="str">
        <f>IFERROR(__xludf.DUMMYFUNCTION("GOOGLETRANSLATE(B1121, ""fr"", ""en"")"),"Sobriety and elegance for this contemporary jewelery Lovely Bracelet ""&amp; nbsp; &amp; nbsp infinity;"". Rhinestones on the Infinity sign giving all its finesse to jewelry. Bracelet easily adjustable thread. Guarantee success if you offer this jewelry.")</f>
        <v>Sobriety and elegance for this contemporary jewelery Lovely Bracelet "&amp; nbsp; &amp; nbsp infinity;". Rhinestones on the Infinity sign giving all its finesse to jewelry. Bracelet easily adjustable thread. Guarantee success if you offer this jewelry.</v>
      </c>
    </row>
    <row r="1122">
      <c r="A1122" s="1">
        <v>5.0</v>
      </c>
      <c r="B1122" s="1" t="s">
        <v>1119</v>
      </c>
      <c r="C1122" t="str">
        <f>IFERROR(__xludf.DUMMYFUNCTION("GOOGLETRANSLATE(B1122, ""fr"", ""en"")"),"Peculiar As well as the blue and very strong I alternated red and blue too class Thanks amazon")</f>
        <v>Peculiar As well as the blue and very strong I alternated red and blue too class Thanks amazon</v>
      </c>
    </row>
    <row r="1123">
      <c r="A1123" s="1">
        <v>5.0</v>
      </c>
      <c r="B1123" s="1" t="s">
        <v>1120</v>
      </c>
      <c r="C1123" t="str">
        <f>IFERROR(__xludf.DUMMYFUNCTION("GOOGLETRANSLATE(B1123, ""fr"", ""en"")"),"discovery Perfect")</f>
        <v>discovery Perfect</v>
      </c>
    </row>
    <row r="1124">
      <c r="A1124" s="1">
        <v>5.0</v>
      </c>
      <c r="B1124" s="1" t="s">
        <v>1121</v>
      </c>
      <c r="C1124" t="str">
        <f>IFERROR(__xludf.DUMMYFUNCTION("GOOGLETRANSLATE(B1124, ""fr"", ""en"")"),"A gentle awakening (too), perfect for children of glass and has very good finishes. No worries on this side there. Ditto for the technical part. The light is soft, the buttons are easy to access and fun to use. Time is legible without producing too much l"&amp;"ight (you can anyway set the contrast), which is convenient for those who do not like being disturbed by light sources when they sleep. The radio works well too. Advantages: + soft alarm mode which increases the light and sound softly. Fully customizable "&amp;"and well designed + The adjustable intensity + pilot The pilot mode that turns off the light and gently Ringtones + sounds varied and enjoyable atmosphere in the ear -Mode sweet awakening Disadvantages a bit complicated to configure -Mode sweet awakening "&amp;"not wake up heavy sleepers -The glass cover and weight make it will not stand in my opinion, to fall short, wake up very good. I use it in a child's room for the night side and waking soft during the holidays (for a reliable alarm clock, it is better to u"&amp;"se the classic alarm clock)")</f>
        <v>A gentle awakening (too), perfect for children of glass and has very good finishes. No worries on this side there. Ditto for the technical part. The light is soft, the buttons are easy to access and fun to use. Time is legible without producing too much light (you can anyway set the contrast), which is convenient for those who do not like being disturbed by light sources when they sleep. The radio works well too. Advantages: + soft alarm mode which increases the light and sound softly. Fully customizable and well designed + The adjustable intensity + pilot The pilot mode that turns off the light and gently Ringtones + sounds varied and enjoyable atmosphere in the ear -Mode sweet awakening Disadvantages a bit complicated to configure -Mode sweet awakening not wake up heavy sleepers -The glass cover and weight make it will not stand in my opinion, to fall short, wake up very good. I use it in a child's room for the night side and waking soft during the holidays (for a reliable alarm clock, it is better to use the classic alarm clock)</v>
      </c>
    </row>
    <row r="1125">
      <c r="A1125" s="1">
        <v>5.0</v>
      </c>
      <c r="B1125" s="1" t="s">
        <v>1122</v>
      </c>
      <c r="C1125" t="str">
        <f>IFERROR(__xludf.DUMMYFUNCTION("GOOGLETRANSLATE(B1125, ""fr"", ""en"")"),"For a little over € 14 tb At best this sends.")</f>
        <v>For a little over € 14 tb At best this sends.</v>
      </c>
    </row>
    <row r="1126">
      <c r="A1126" s="1">
        <v>5.0</v>
      </c>
      <c r="B1126" s="1" t="s">
        <v>1123</v>
      </c>
      <c r="C1126" t="str">
        <f>IFERROR(__xludf.DUMMYFUNCTION("GOOGLETRANSLATE(B1126, ""fr"", ""en"")"),"Very beautiful and practical good product handy. Conformity with the description and in addition a zipper allows elargirr the depth of the bag")</f>
        <v>Very beautiful and practical good product handy. Conformity with the description and in addition a zipper allows elargirr the depth of the bag</v>
      </c>
    </row>
    <row r="1127">
      <c r="A1127" s="1">
        <v>5.0</v>
      </c>
      <c r="B1127" s="1" t="s">
        <v>1124</v>
      </c>
      <c r="C1127" t="str">
        <f>IFERROR(__xludf.DUMMYFUNCTION("GOOGLETRANSLATE(B1127, ""fr"", ""en"")"),"warm slippers with insulating soles worn with socks ... otherwise very well !! very hot!")</f>
        <v>warm slippers with insulating soles worn with socks ... otherwise very well !! very hot!</v>
      </c>
    </row>
    <row r="1128">
      <c r="A1128" s="1">
        <v>5.0</v>
      </c>
      <c r="B1128" s="1" t="s">
        <v>1125</v>
      </c>
      <c r="C1128" t="str">
        <f>IFERROR(__xludf.DUMMYFUNCTION("GOOGLETRANSLATE(B1128, ""fr"", ""en"")"),"gym shoes 46 shoes that match the criteria of high school in sole point of view corresponds to the request of the teacher, good quality, fast delivery, thank you")</f>
        <v>gym shoes 46 shoes that match the criteria of high school in sole point of view corresponds to the request of the teacher, good quality, fast delivery, thank you</v>
      </c>
    </row>
    <row r="1129">
      <c r="A1129" s="1">
        <v>5.0</v>
      </c>
      <c r="B1129" s="1" t="s">
        <v>1126</v>
      </c>
      <c r="C1129" t="str">
        <f>IFERROR(__xludf.DUMMYFUNCTION("GOOGLETRANSLATE(B1129, ""fr"", ""en"")"),"good product very practical, compact and ideal. with anti limescale filter seen! I've even bought one for my mother who is also very satisfied!")</f>
        <v>good product very practical, compact and ideal. with anti limescale filter seen! I've even bought one for my mother who is also very satisfied!</v>
      </c>
    </row>
    <row r="1130">
      <c r="A1130" s="1">
        <v>5.0</v>
      </c>
      <c r="B1130" s="1" t="s">
        <v>1127</v>
      </c>
      <c r="C1130" t="str">
        <f>IFERROR(__xludf.DUMMYFUNCTION("GOOGLETRANSLATE(B1130, ""fr"", ""en"")"),"good value for money are made for job maintenance product odor is pleasant and duration s found there")</f>
        <v>good value for money are made for job maintenance product odor is pleasant and duration s found there</v>
      </c>
    </row>
    <row r="1131">
      <c r="A1131" s="1">
        <v>2.0</v>
      </c>
      <c r="B1131" s="1" t="s">
        <v>1128</v>
      </c>
      <c r="C1131" t="str">
        <f>IFERROR(__xludf.DUMMYFUNCTION("GOOGLETRANSLATE(B1131, ""fr"", ""en"")"),"Return. I was not able to use this mic because my chain n emplifiait not quite sound. J is was attracted by the price but returned")</f>
        <v>Return. I was not able to use this mic because my chain n emplifiait not quite sound. J is was attracted by the price but returned</v>
      </c>
    </row>
    <row r="1132">
      <c r="A1132" s="1">
        <v>1.0</v>
      </c>
      <c r="B1132" s="1" t="s">
        <v>1129</v>
      </c>
      <c r="C1132" t="str">
        <f>IFERROR(__xludf.DUMMYFUNCTION("GOOGLETRANSLATE(B1132, ""fr"", ""en"")"),"Horrible and toxic? What to expect from a product at € 0.88 delivered to China? Well nothing horrible material (plastic), scratching, very fine one sees through ... I can not imagine after a few washes the state of this stuff, but it will not go far, dire"&amp;"ct trash! I even question me at the health if it is legal, given the chemical smell. Model purchased plain black.")</f>
        <v>Horrible and toxic? What to expect from a product at € 0.88 delivered to China? Well nothing horrible material (plastic), scratching, very fine one sees through ... I can not imagine after a few washes the state of this stuff, but it will not go far, direct trash! I even question me at the health if it is legal, given the chemical smell. Model purchased plain black.</v>
      </c>
    </row>
    <row r="1133">
      <c r="A1133" s="1">
        <v>1.0</v>
      </c>
      <c r="B1133" s="1" t="s">
        <v>1130</v>
      </c>
      <c r="C1133" t="str">
        <f>IFERROR(__xludf.DUMMYFUNCTION("GOOGLETRANSLATE(B1133, ""fr"", ""en"")"),"Strap closure problem I ordered two bracelets, a gift that was very fun, too bad there's one that opens regularly and it carries more because it risks losing the pearls,")</f>
        <v>Strap closure problem I ordered two bracelets, a gift that was very fun, too bad there's one that opens regularly and it carries more because it risks losing the pearls,</v>
      </c>
    </row>
    <row r="1134">
      <c r="A1134" s="1">
        <v>3.0</v>
      </c>
      <c r="B1134" s="1" t="s">
        <v>1131</v>
      </c>
      <c r="C1134" t="str">
        <f>IFERROR(__xludf.DUMMYFUNCTION("GOOGLETRANSLATE(B1134, ""fr"", ""en"")"),"very average not enough light, audible alarm")</f>
        <v>very average not enough light, audible alarm</v>
      </c>
    </row>
    <row r="1135">
      <c r="A1135" s="1">
        <v>4.0</v>
      </c>
      <c r="B1135" s="1" t="s">
        <v>1132</v>
      </c>
      <c r="C1135" t="str">
        <f>IFERROR(__xludf.DUMMYFUNCTION("GOOGLETRANSLATE(B1135, ""fr"", ""en"")"),"Perfect Perfect.")</f>
        <v>Perfect Perfect.</v>
      </c>
    </row>
    <row r="1136">
      <c r="A1136" s="1">
        <v>4.0</v>
      </c>
      <c r="B1136" s="1" t="s">
        <v>1133</v>
      </c>
      <c r="C1136" t="str">
        <f>IFERROR(__xludf.DUMMYFUNCTION("GOOGLETRANSLATE(B1136, ""fr"", ""en"")"),"Although well but after 3 months she has yellowed over the entire perimeter of the sole ...")</f>
        <v>Although well but after 3 months she has yellowed over the entire perimeter of the sole ...</v>
      </c>
    </row>
    <row r="1137">
      <c r="A1137" s="1">
        <v>4.0</v>
      </c>
      <c r="B1137" s="1" t="s">
        <v>1134</v>
      </c>
      <c r="C1137" t="str">
        <f>IFERROR(__xludf.DUMMYFUNCTION("GOOGLETRANSLATE(B1137, ""fr"", ""en"")"),"Although complicated, but good for a relay to traditional massage to massage the shoulders But we must stall with cushions and it is quite complicated")</f>
        <v>Although complicated, but good for a relay to traditional massage to massage the shoulders But we must stall with cushions and it is quite complicated</v>
      </c>
    </row>
    <row r="1138">
      <c r="A1138" s="1">
        <v>4.0</v>
      </c>
      <c r="B1138" s="1" t="s">
        <v>1135</v>
      </c>
      <c r="C1138" t="str">
        <f>IFERROR(__xludf.DUMMYFUNCTION("GOOGLETRANSLATE(B1138, ""fr"", ""en"")"),"Size smallish Good value")</f>
        <v>Size smallish Good value</v>
      </c>
    </row>
    <row r="1139">
      <c r="A1139" s="1">
        <v>5.0</v>
      </c>
      <c r="B1139" s="1" t="s">
        <v>1136</v>
      </c>
      <c r="C1139" t="str">
        <f>IFERROR(__xludf.DUMMYFUNCTION("GOOGLETRANSLATE(B1139, ""fr"", ""en"")"),"good capacity very good capacity and extremely easy to undo the trash every time. it is used every day and is always in excellent condition for 1 year")</f>
        <v>good capacity very good capacity and extremely easy to undo the trash every time. it is used every day and is always in excellent condition for 1 year</v>
      </c>
    </row>
    <row r="1140">
      <c r="A1140" s="1">
        <v>5.0</v>
      </c>
      <c r="B1140" s="1" t="s">
        <v>1137</v>
      </c>
      <c r="C1140" t="str">
        <f>IFERROR(__xludf.DUMMYFUNCTION("GOOGLETRANSLATE(B1140, ""fr"", ""en"")"),"Although the cartridges snap ..... There is a problem with these cartridges received: they never work the first try !. So do not panic: open the locking notch of each cartridge and reset the d sharply and it will work !!")</f>
        <v>Although the cartridges snap ..... There is a problem with these cartridges received: they never work the first try !. So do not panic: open the locking notch of each cartridge and reset the d sharply and it will work !!</v>
      </c>
    </row>
    <row r="1141">
      <c r="A1141" s="1">
        <v>5.0</v>
      </c>
      <c r="B1141" s="1" t="s">
        <v>1138</v>
      </c>
      <c r="C1141" t="str">
        <f>IFERROR(__xludf.DUMMYFUNCTION("GOOGLETRANSLATE(B1141, ""fr"", ""en"")"),"I can give them five stars. For me, finding headphones that I like is not easy. But here I like functionality and I am very satisfied with their simple appearance. I have recommended several friends to buy them.")</f>
        <v>I can give them five stars. For me, finding headphones that I like is not easy. But here I like functionality and I am very satisfied with their simple appearance. I have recommended several friends to buy them.</v>
      </c>
    </row>
    <row r="1142">
      <c r="A1142" s="1">
        <v>5.0</v>
      </c>
      <c r="B1142" s="1" t="s">
        <v>1139</v>
      </c>
      <c r="C1142" t="str">
        <f>IFERROR(__xludf.DUMMYFUNCTION("GOOGLETRANSLATE(B1142, ""fr"", ""en"")"),"the cut and the fabric good quality I like ......")</f>
        <v>the cut and the fabric good quality I like ......</v>
      </c>
    </row>
    <row r="1143">
      <c r="A1143" s="1">
        <v>5.0</v>
      </c>
      <c r="B1143" s="1" t="s">
        <v>1140</v>
      </c>
      <c r="C1143" t="str">
        <f>IFERROR(__xludf.DUMMYFUNCTION("GOOGLETRANSLATE(B1143, ""fr"", ""en"")"),"Great for travel Very good value, impeccable louse travel ... no regrets purchasing Thanks amazon")</f>
        <v>Great for travel Very good value, impeccable louse travel ... no regrets purchasing Thanks amazon</v>
      </c>
    </row>
    <row r="1144">
      <c r="A1144" s="1">
        <v>5.0</v>
      </c>
      <c r="B1144" s="1" t="s">
        <v>1141</v>
      </c>
      <c r="C1144" t="str">
        <f>IFERROR(__xludf.DUMMYFUNCTION("GOOGLETRANSLATE(B1144, ""fr"", ""en"")"),"Heated Comforter What a pleasure to put in a warm quilt when coming from outside and it is very cold. Personally I used once and this is my companion who commandeered me because she is very cautious. The quilt is very soft so it's nice to snuggle. I recom"&amp;"mend.")</f>
        <v>Heated Comforter What a pleasure to put in a warm quilt when coming from outside and it is very cold. Personally I used once and this is my companion who commandeered me because she is very cautious. The quilt is very soft so it's nice to snuggle. I recommend.</v>
      </c>
    </row>
    <row r="1145">
      <c r="A1145" s="1">
        <v>5.0</v>
      </c>
      <c r="B1145" s="1" t="s">
        <v>1142</v>
      </c>
      <c r="C1145" t="str">
        <f>IFERROR(__xludf.DUMMYFUNCTION("GOOGLETRANSLATE(B1145, ""fr"", ""en"")"),"Very good quality Delivered very quickly, the socks are very good and fits the description! I recommend.")</f>
        <v>Very good quality Delivered very quickly, the socks are very good and fits the description! I recommend.</v>
      </c>
    </row>
    <row r="1146">
      <c r="A1146" s="1">
        <v>5.0</v>
      </c>
      <c r="B1146" s="1" t="s">
        <v>1143</v>
      </c>
      <c r="C1146" t="str">
        <f>IFERROR(__xludf.DUMMYFUNCTION("GOOGLETRANSLATE(B1146, ""fr"", ""en"")"),"CONVERSE that of its RETURN. I ALREADY BUY its CONVERSES there not so long ago and I thought, OK, I takes a second and even sizes and EVERYTHING is is that the beautiful ... happy. LOL. I RECOMMEND AGAIN and ALWAYS.")</f>
        <v>CONVERSE that of its RETURN. I ALREADY BUY its CONVERSES there not so long ago and I thought, OK, I takes a second and even sizes and EVERYTHING is is that the beautiful ... happy. LOL. I RECOMMEND AGAIN and ALWAYS.</v>
      </c>
    </row>
    <row r="1147">
      <c r="A1147" s="1">
        <v>5.0</v>
      </c>
      <c r="B1147" s="1" t="s">
        <v>1144</v>
      </c>
      <c r="C1147" t="str">
        <f>IFERROR(__xludf.DUMMYFUNCTION("GOOGLETRANSLATE(B1147, ""fr"", ""en"")"),"Very nice watch to wear year 80/90 Lightweight ideal for everyday wear but especially for shirt wearers has long sleeves because as it is very flat it does not cling to the Cuff Shirt")</f>
        <v>Very nice watch to wear year 80/90 Lightweight ideal for everyday wear but especially for shirt wearers has long sleeves because as it is very flat it does not cling to the Cuff Shirt</v>
      </c>
    </row>
    <row r="1148">
      <c r="A1148" s="1">
        <v>5.0</v>
      </c>
      <c r="B1148" s="1" t="s">
        <v>1145</v>
      </c>
      <c r="C1148" t="str">
        <f>IFERROR(__xludf.DUMMYFUNCTION("GOOGLETRANSLATE(B1148, ""fr"", ""en"")"),"Garbage bag that perfectly matches my expectations at a more than fair price as part of a ""basket grouped"". RAS good product.")</f>
        <v>Garbage bag that perfectly matches my expectations at a more than fair price as part of a "basket grouped". RAS good product.</v>
      </c>
    </row>
    <row r="1149">
      <c r="A1149" s="1">
        <v>5.0</v>
      </c>
      <c r="B1149" s="1" t="s">
        <v>1146</v>
      </c>
      <c r="C1149" t="str">
        <f>IFERROR(__xludf.DUMMYFUNCTION("GOOGLETRANSLATE(B1149, ""fr"", ""en"")"),"Disney Mickey Very cute necklace for a gift!")</f>
        <v>Disney Mickey Very cute necklace for a gift!</v>
      </c>
    </row>
    <row r="1150">
      <c r="A1150" s="1">
        <v>5.0</v>
      </c>
      <c r="B1150" s="1" t="s">
        <v>1147</v>
      </c>
      <c r="C1150" t="str">
        <f>IFERROR(__xludf.DUMMYFUNCTION("GOOGLETRANSLATE(B1150, ""fr"", ""en"")"),"Tip top quality unbeatable price, 8euros delivered !!!")</f>
        <v>Tip top quality unbeatable price, 8euros delivered !!!</v>
      </c>
    </row>
    <row r="1151">
      <c r="A1151" s="1">
        <v>5.0</v>
      </c>
      <c r="B1151" s="1" t="s">
        <v>1148</v>
      </c>
      <c r="C1151" t="str">
        <f>IFERROR(__xludf.DUMMYFUNCTION("GOOGLETRANSLATE(B1151, ""fr"", ""en"")"),"At the top at the top to actually enjoy the mom! An older style but chic in her jewelry box and premium with two different sized strings ... if future mother is large or not .. it's very nice I recommend!")</f>
        <v>At the top at the top to actually enjoy the mom! An older style but chic in her jewelry box and premium with two different sized strings ... if future mother is large or not .. it's very nice I recommend!</v>
      </c>
    </row>
    <row r="1152">
      <c r="A1152" s="1">
        <v>5.0</v>
      </c>
      <c r="B1152" s="1" t="s">
        <v>1149</v>
      </c>
      <c r="C1152" t="str">
        <f>IFERROR(__xludf.DUMMYFUNCTION("GOOGLETRANSLATE(B1152, ""fr"", ""en"")"),"Well I recommend headphones to listen to music or make his sport is nickel I did not expect such a good quality I recommend")</f>
        <v>Well I recommend headphones to listen to music or make his sport is nickel I did not expect such a good quality I recommend</v>
      </c>
    </row>
    <row r="1153">
      <c r="A1153" s="1">
        <v>5.0</v>
      </c>
      <c r="B1153" s="1" t="s">
        <v>1150</v>
      </c>
      <c r="C1153" t="str">
        <f>IFERROR(__xludf.DUMMYFUNCTION("GOOGLETRANSLATE(B1153, ""fr"", ""en"")"),"Good markers These markers are useful for LAC, drawings or just over. I highly recommend ! If my review was helpful you can mark that would encourage me to write reviews for you :)")</f>
        <v>Good markers These markers are useful for LAC, drawings or just over. I highly recommend ! If my review was helpful you can mark that would encourage me to write reviews for you :)</v>
      </c>
    </row>
    <row r="1154">
      <c r="A1154" s="1">
        <v>2.0</v>
      </c>
      <c r="B1154" s="1" t="s">
        <v>1151</v>
      </c>
      <c r="C1154" t="str">
        <f>IFERROR(__xludf.DUMMYFUNCTION("GOOGLETRANSLATE(B1154, ""fr"", ""en"")"),"defective product, 3 times in a row I bought this product for the first time since he had recommended me a lot. I was not disappointed, it worked very well for about a year. After that, it will no longer work at all. So I walk warranty, Amazon has therefo"&amp;"re sent me another. When unpacking, it was also faulty, generating an inaudible sound. Thinking of a sudden bad luck, I again operated the guarantee was no different, defective product. So I referred to an NT-USB in RODE.")</f>
        <v>defective product, 3 times in a row I bought this product for the first time since he had recommended me a lot. I was not disappointed, it worked very well for about a year. After that, it will no longer work at all. So I walk warranty, Amazon has therefore sent me another. When unpacking, it was also faulty, generating an inaudible sound. Thinking of a sudden bad luck, I again operated the guarantee was no different, defective product. So I referred to an NT-USB in RODE.</v>
      </c>
    </row>
    <row r="1155">
      <c r="A1155" s="1">
        <v>1.0</v>
      </c>
      <c r="B1155" s="1" t="s">
        <v>1152</v>
      </c>
      <c r="C1155" t="str">
        <f>IFERROR(__xludf.DUMMYFUNCTION("GOOGLETRANSLATE(B1155, ""fr"", ""en"")"),"Warning promotion scam I had to be promoted hp 15 € for the purchase of several cartridge (promo always displayed) and she was denied because it must apply within 1 month (though the promo is valid until at 31-10-17). This condition is really hidden in th"&amp;"e terms and conditions available on the HP site and therefore not available for purchase (the link on the conditions of supply leading to a board to print his bill amazon!). Unable to redress despite calls to Amazon sav. I am very disappointed, I, who had"&amp;" always enjoyed the Amazon Service ...")</f>
        <v>Warning promotion scam I had to be promoted hp 15 € for the purchase of several cartridge (promo always displayed) and she was denied because it must apply within 1 month (though the promo is valid until at 31-10-17). This condition is really hidden in the terms and conditions available on the HP site and therefore not available for purchase (the link on the conditions of supply leading to a board to print his bill amazon!). Unable to redress despite calls to Amazon sav. I am very disappointed, I, who had always enjoyed the Amazon Service ...</v>
      </c>
    </row>
    <row r="1156">
      <c r="A1156" s="1">
        <v>3.0</v>
      </c>
      <c r="B1156" s="1" t="s">
        <v>1153</v>
      </c>
      <c r="C1156" t="str">
        <f>IFERROR(__xludf.DUMMYFUNCTION("GOOGLETRANSLATE(B1156, ""fr"", ""en"")"),"Given the bignou, and the price ... Perfect It meets my current needs. 40 € I do the same choice. Everything seems good although the crossfader seems a bit light.")</f>
        <v>Given the bignou, and the price ... Perfect It meets my current needs. 40 € I do the same choice. Everything seems good although the crossfader seems a bit light.</v>
      </c>
    </row>
    <row r="1157">
      <c r="A1157" s="1">
        <v>3.0</v>
      </c>
      <c r="B1157" s="1" t="s">
        <v>1154</v>
      </c>
      <c r="C1157" t="str">
        <f>IFERROR(__xludf.DUMMYFUNCTION("GOOGLETRANSLATE(B1157, ""fr"", ""en"")"),"Not bad quality is good, and the product also to pa brassiere, it's good for any day but not for sports")</f>
        <v>Not bad quality is good, and the product also to pa brassiere, it's good for any day but not for sports</v>
      </c>
    </row>
    <row r="1158">
      <c r="A1158" s="1">
        <v>4.0</v>
      </c>
      <c r="B1158" s="1" t="s">
        <v>1155</v>
      </c>
      <c r="C1158" t="str">
        <f>IFERROR(__xludf.DUMMYFUNCTION("GOOGLETRANSLATE(B1158, ""fr"", ""en"")"),"Fabrics too thick shoes that I like very much but a very hard tissue and lack of flexibility which creates a sore feet I had to buy wooden arch extensions and for the moment I await the result but I have already had amploules!")</f>
        <v>Fabrics too thick shoes that I like very much but a very hard tissue and lack of flexibility which creates a sore feet I had to buy wooden arch extensions and for the moment I await the result but I have already had amploules!</v>
      </c>
    </row>
    <row r="1159">
      <c r="A1159" s="1">
        <v>4.0</v>
      </c>
      <c r="B1159" s="1" t="s">
        <v>1156</v>
      </c>
      <c r="C1159" t="str">
        <f>IFERROR(__xludf.DUMMYFUNCTION("GOOGLETRANSLATE(B1159, ""fr"", ""en"")"),"Very good very good do not regret my purchase")</f>
        <v>Very good very good do not regret my purchase</v>
      </c>
    </row>
    <row r="1160">
      <c r="A1160" s="1">
        <v>4.0</v>
      </c>
      <c r="B1160" s="1" t="s">
        <v>1157</v>
      </c>
      <c r="C1160" t="str">
        <f>IFERROR(__xludf.DUMMYFUNCTION("GOOGLETRANSLATE(B1160, ""fr"", ""en"")"),"very well received on time, in line with expectations")</f>
        <v>very well received on time, in line with expectations</v>
      </c>
    </row>
    <row r="1161">
      <c r="A1161" s="1">
        <v>4.0</v>
      </c>
      <c r="B1161" s="1" t="s">
        <v>1158</v>
      </c>
      <c r="C1161" t="str">
        <f>IFERROR(__xludf.DUMMYFUNCTION("GOOGLETRANSLATE(B1161, ""fr"", ""en"")"),"the size and quality of the fabric. Very good product good qualities.")</f>
        <v>the size and quality of the fabric. Very good product good qualities.</v>
      </c>
    </row>
    <row r="1162">
      <c r="A1162" s="1">
        <v>5.0</v>
      </c>
      <c r="B1162" s="1" t="s">
        <v>1159</v>
      </c>
      <c r="C1162" t="str">
        <f>IFERROR(__xludf.DUMMYFUNCTION("GOOGLETRANSLATE(B1162, ""fr"", ""en"")"),"gift idea pretty good silver chain")</f>
        <v>gift idea pretty good silver chain</v>
      </c>
    </row>
    <row r="1163">
      <c r="A1163" s="1">
        <v>5.0</v>
      </c>
      <c r="B1163" s="1" t="s">
        <v>1160</v>
      </c>
      <c r="C1163" t="str">
        <f>IFERROR(__xludf.DUMMYFUNCTION("GOOGLETRANSLATE(B1163, ""fr"", ""en"")"),"A quality professional microphone available to all quality professional microphone and the sound is great no noise around it records exactly what is in front of you like when you heard is frankly the microphone accessible to all for professional quality a"&amp;"t home")</f>
        <v>A quality professional microphone available to all quality professional microphone and the sound is great no noise around it records exactly what is in front of you like when you heard is frankly the microphone accessible to all for professional quality at home</v>
      </c>
    </row>
    <row r="1164">
      <c r="A1164" s="1">
        <v>5.0</v>
      </c>
      <c r="B1164" s="1" t="s">
        <v>1161</v>
      </c>
      <c r="C1164" t="str">
        <f>IFERROR(__xludf.DUMMYFUNCTION("GOOGLETRANSLATE(B1164, ""fr"", ""en"")"),"Well Perfect for Potty Leaves are not cardboard, but remains stiff for a little while")</f>
        <v>Well Perfect for Potty Leaves are not cardboard, but remains stiff for a little while</v>
      </c>
    </row>
    <row r="1165">
      <c r="A1165" s="1">
        <v>5.0</v>
      </c>
      <c r="B1165" s="1" t="s">
        <v>1162</v>
      </c>
      <c r="C1165" t="str">
        <f>IFERROR(__xludf.DUMMYFUNCTION("GOOGLETRANSLATE(B1165, ""fr"", ""en"")"),"Okay Meets images, it looks solid. It is big enough to get an iPad for those interested.")</f>
        <v>Okay Meets images, it looks solid. It is big enough to get an iPad for those interested.</v>
      </c>
    </row>
    <row r="1166">
      <c r="A1166" s="1">
        <v>5.0</v>
      </c>
      <c r="B1166" s="1" t="s">
        <v>1163</v>
      </c>
      <c r="C1166" t="str">
        <f>IFERROR(__xludf.DUMMYFUNCTION("GOOGLETRANSLATE(B1166, ""fr"", ""en"")"),"excelente excelente")</f>
        <v>excelente excelente</v>
      </c>
    </row>
    <row r="1167">
      <c r="A1167" s="1">
        <v>5.0</v>
      </c>
      <c r="B1167" s="1" t="s">
        <v>1164</v>
      </c>
      <c r="C1167" t="str">
        <f>IFERROR(__xludf.DUMMYFUNCTION("GOOGLETRANSLATE(B1167, ""fr"", ""en"")"),"Something has to be pure Nickel dillution airbrush airbrush ..")</f>
        <v>Something has to be pure Nickel dillution airbrush airbrush ..</v>
      </c>
    </row>
    <row r="1168">
      <c r="A1168" s="1">
        <v>5.0</v>
      </c>
      <c r="B1168" s="1" t="s">
        <v>1165</v>
      </c>
      <c r="C1168" t="str">
        <f>IFERROR(__xludf.DUMMYFUNCTION("GOOGLETRANSLATE(B1168, ""fr"", ""en"")"),"super handy product works very well, a USB cable provided.")</f>
        <v>super handy product works very well, a USB cable provided.</v>
      </c>
    </row>
    <row r="1169">
      <c r="A1169" s="1">
        <v>5.0</v>
      </c>
      <c r="B1169" s="1" t="s">
        <v>1166</v>
      </c>
      <c r="C1169" t="str">
        <f>IFERROR(__xludf.DUMMYFUNCTION("GOOGLETRANSLATE(B1169, ""fr"", ""en"")"),"Very good value for money ! I met a lot! Cheap, durable and big enough! I use it on a Samson C0U1. In addition, it reduces some resonance!")</f>
        <v>Very good value for money ! I met a lot! Cheap, durable and big enough! I use it on a Samson C0U1. In addition, it reduces some resonance!</v>
      </c>
    </row>
    <row r="1170">
      <c r="A1170" s="1">
        <v>5.0</v>
      </c>
      <c r="B1170" s="1" t="s">
        <v>1167</v>
      </c>
      <c r="C1170" t="str">
        <f>IFERROR(__xludf.DUMMYFUNCTION("GOOGLETRANSLATE(B1170, ""fr"", ""en"")"),"my platinum revi After a long period without work, the belt of my platinum belt that is disaggregated .This allowed me to revive this thing I just listen to my collection of fun vinyle.Quel")</f>
        <v>my platinum revi After a long period without work, the belt of my platinum belt that is disaggregated .This allowed me to revive this thing I just listen to my collection of fun vinyle.Quel</v>
      </c>
    </row>
    <row r="1171">
      <c r="A1171" s="1">
        <v>5.0</v>
      </c>
      <c r="B1171" s="1" t="s">
        <v>1168</v>
      </c>
      <c r="C1171" t="str">
        <f>IFERROR(__xludf.DUMMYFUNCTION("GOOGLETRANSLATE(B1171, ""fr"", ""en"")"),"Compact ideal for storing office, good value")</f>
        <v>Compact ideal for storing office, good value</v>
      </c>
    </row>
    <row r="1172">
      <c r="A1172" s="1">
        <v>5.0</v>
      </c>
      <c r="B1172" s="1" t="s">
        <v>1169</v>
      </c>
      <c r="C1172" t="str">
        <f>IFERROR(__xludf.DUMMYFUNCTION("GOOGLETRANSLATE(B1172, ""fr"", ""en"")"),"Compact, compatible sound good Bought for my son, once connected, it came to me to tell me it's great, what good sound. Compact does not take place. Compatible with almost any device, son to honor and it works perfectly. He used to go mountain biking, he "&amp;"is delighted. I really recommend.")</f>
        <v>Compact, compatible sound good Bought for my son, once connected, it came to me to tell me it's great, what good sound. Compact does not take place. Compatible with almost any device, son to honor and it works perfectly. He used to go mountain biking, he is delighted. I really recommend.</v>
      </c>
    </row>
    <row r="1173">
      <c r="A1173" s="1">
        <v>5.0</v>
      </c>
      <c r="B1173" s="1" t="s">
        <v>1170</v>
      </c>
      <c r="C1173" t="str">
        <f>IFERROR(__xludf.DUMMYFUNCTION("GOOGLETRANSLATE(B1173, ""fr"", ""en"")"),"Wonderful Very nice, very well and received in due time.")</f>
        <v>Wonderful Very nice, very well and received in due time.</v>
      </c>
    </row>
    <row r="1174">
      <c r="A1174" s="1">
        <v>5.0</v>
      </c>
      <c r="B1174" s="1" t="s">
        <v>1171</v>
      </c>
      <c r="C1174" t="str">
        <f>IFERROR(__xludf.DUMMYFUNCTION("GOOGLETRANSLATE(B1174, ""fr"", ""en"")"),"Good value headset wireless headset Bluetooth 4.1 small, lightweight, supports Micro SD up to 32 GB a very good sound quality, easy to transport it is foldable and lightweight Compatible iOS AND ANDROID it recharges in 2 hours and the like battery 6 to 8 "&amp;"hours depending on use music or conversation Very good value for money. I recommend for those who want a Bluetooth headset of good quality not very expensive.")</f>
        <v>Good value headset wireless headset Bluetooth 4.1 small, lightweight, supports Micro SD up to 32 GB a very good sound quality, easy to transport it is foldable and lightweight Compatible iOS AND ANDROID it recharges in 2 hours and the like battery 6 to 8 hours depending on use music or conversation Very good value for money. I recommend for those who want a Bluetooth headset of good quality not very expensive.</v>
      </c>
    </row>
    <row r="1175">
      <c r="A1175" s="1">
        <v>5.0</v>
      </c>
      <c r="B1175" s="1" t="s">
        <v>1172</v>
      </c>
      <c r="C1175" t="str">
        <f>IFERROR(__xludf.DUMMYFUNCTION("GOOGLETRANSLATE(B1175, ""fr"", ""en"")"),"Bom Bom")</f>
        <v>Bom Bom</v>
      </c>
    </row>
    <row r="1176">
      <c r="A1176" s="1">
        <v>5.0</v>
      </c>
      <c r="B1176" s="1" t="s">
        <v>1173</v>
      </c>
      <c r="C1176" t="str">
        <f>IFERROR(__xludf.DUMMYFUNCTION("GOOGLETRANSLATE(B1176, ""fr"", ""en"")"),"good product I myself not expect. Legging exceeded my suffering. It is well cut, shows very beautiful forms. Small pockets are practical. The material is soft, comfortable to wear. The waist is high is, hides the belly. It is a bit long for me, but it doe"&amp;"s not bother me because leggings itself is sitting on the horns. Satisfied with the quality of this product, I recommend.")</f>
        <v>good product I myself not expect. Legging exceeded my suffering. It is well cut, shows very beautiful forms. Small pockets are practical. The material is soft, comfortable to wear. The waist is high is, hides the belly. It is a bit long for me, but it does not bother me because leggings itself is sitting on the horns. Satisfied with the quality of this product, I recommend.</v>
      </c>
    </row>
    <row r="1177">
      <c r="A1177" s="1">
        <v>2.0</v>
      </c>
      <c r="B1177" s="1" t="s">
        <v>1174</v>
      </c>
      <c r="C1177" t="str">
        <f>IFERROR(__xludf.DUMMYFUNCTION("GOOGLETRANSLATE(B1177, ""fr"", ""en"")"),"times and fangs are hard fangs are not what they were ... those are the hard, uncomfortable .The teeth is a look can be, but also a comfortable, right?")</f>
        <v>times and fangs are hard fangs are not what they were ... those are the hard, uncomfortable .The teeth is a look can be, but also a comfortable, right?</v>
      </c>
    </row>
    <row r="1178">
      <c r="A1178" s="1">
        <v>1.0</v>
      </c>
      <c r="B1178" s="1" t="s">
        <v>1175</v>
      </c>
      <c r="C1178" t="str">
        <f>IFERROR(__xludf.DUMMYFUNCTION("GOOGLETRANSLATE(B1178, ""fr"", ""en"")"),"USEFUL With only ten uses the device no longer works, blocked joystick, emptied gas refill, and noise of an object in the control head? Too bad because useful for reducing soda water bottle plastics. Back of the unit!")</f>
        <v>USEFUL With only ten uses the device no longer works, blocked joystick, emptied gas refill, and noise of an object in the control head? Too bad because useful for reducing soda water bottle plastics. Back of the unit!</v>
      </c>
    </row>
    <row r="1179">
      <c r="A1179" s="1">
        <v>1.0</v>
      </c>
      <c r="B1179" s="1" t="s">
        <v>1176</v>
      </c>
      <c r="C1179" t="str">
        <f>IFERROR(__xludf.DUMMYFUNCTION("GOOGLETRANSLATE(B1179, ""fr"", ""en"")"),"Pourri not to buy! Pourri they are already peeled on the side, for the price it is shame !!! I do not recommend at all.")</f>
        <v>Pourri not to buy! Pourri they are already peeled on the side, for the price it is shame !!! I do not recommend at all.</v>
      </c>
    </row>
    <row r="1180">
      <c r="A1180" s="1">
        <v>3.0</v>
      </c>
      <c r="B1180" s="1" t="s">
        <v>1177</v>
      </c>
      <c r="C1180" t="str">
        <f>IFERROR(__xludf.DUMMYFUNCTION("GOOGLETRANSLATE(B1180, ""fr"", ""en"")"),"VERY dificult A CLEAR RED The red fades badly, not ideal for a whiteboard. Especially do not let writing more than an hour or two, you have to rub hard to erase the red.")</f>
        <v>VERY dificult A CLEAR RED The red fades badly, not ideal for a whiteboard. Especially do not let writing more than an hour or two, you have to rub hard to erase the red.</v>
      </c>
    </row>
    <row r="1181">
      <c r="A1181" s="1">
        <v>3.0</v>
      </c>
      <c r="B1181" s="1" t="s">
        <v>1178</v>
      </c>
      <c r="C1181" t="str">
        <f>IFERROR(__xludf.DUMMYFUNCTION("GOOGLETRANSLATE(B1181, ""fr"", ""en"")"),"Disappointed with the product but good seller Having a small head I had trouble has put the helmet to have a proper listening. Also, the sound is heard by everyone in an open space, does not match my expectations. The seller is still very good, he contact"&amp;"ed me later to find a solution, on time, very friendly etc. I recommend")</f>
        <v>Disappointed with the product but good seller Having a small head I had trouble has put the helmet to have a proper listening. Also, the sound is heard by everyone in an open space, does not match my expectations. The seller is still very good, he contacted me later to find a solution, on time, very friendly etc. I recommend</v>
      </c>
    </row>
    <row r="1182">
      <c r="A1182" s="1">
        <v>4.0</v>
      </c>
      <c r="B1182" s="1" t="s">
        <v>1179</v>
      </c>
      <c r="C1182" t="str">
        <f>IFERROR(__xludf.DUMMYFUNCTION("GOOGLETRANSLATE(B1182, ""fr"", ""en"")"),"I recommend value I love these bic's, it is a pleasure to write with, it was time that I was looking for such quality. I'm not disappointed, more quickly it disappears without trace our small mistakes and refills easily. I can only recommend.")</f>
        <v>I recommend value I love these bic's, it is a pleasure to write with, it was time that I was looking for such quality. I'm not disappointed, more quickly it disappears without trace our small mistakes and refills easily. I can only recommend.</v>
      </c>
    </row>
    <row r="1183">
      <c r="A1183" s="1">
        <v>4.0</v>
      </c>
      <c r="B1183" s="1" t="s">
        <v>1180</v>
      </c>
      <c r="C1183" t="str">
        <f>IFERROR(__xludf.DUMMYFUNCTION("GOOGLETRANSLATE(B1183, ""fr"", ""en"")"),"Superb and fine quality Beautiful earrings feminine and elegant ears and blue and just like the picture")</f>
        <v>Superb and fine quality Beautiful earrings feminine and elegant ears and blue and just like the picture</v>
      </c>
    </row>
    <row r="1184">
      <c r="A1184" s="1">
        <v>4.0</v>
      </c>
      <c r="B1184" s="1" t="s">
        <v>1181</v>
      </c>
      <c r="C1184" t="str">
        <f>IFERROR(__xludf.DUMMYFUNCTION("GOOGLETRANSLATE(B1184, ""fr"", ""en"")"),"Top for sports Very nice watch, for against the lighting means that's why I remove a star. It is very robust, it's good stuff G Schock is very solid; o) Last is headlock to settle for too function but that's annex.")</f>
        <v>Top for sports Very nice watch, for against the lighting means that's why I remove a star. It is very robust, it's good stuff G Schock is very solid; o) Last is headlock to settle for too function but that's annex.</v>
      </c>
    </row>
    <row r="1185">
      <c r="A1185" s="1">
        <v>4.0</v>
      </c>
      <c r="B1185" s="1" t="s">
        <v>1182</v>
      </c>
      <c r="C1185" t="str">
        <f>IFERROR(__xludf.DUMMYFUNCTION("GOOGLETRANSLATE(B1185, ""fr"", ""en"")"),"Perfect I hesitated with another Micro same range and I am delighted to have chosen this one. The tone is warm and especially the microphone is very solid, I did fell and remained flawless phew, good quality.")</f>
        <v>Perfect I hesitated with another Micro same range and I am delighted to have chosen this one. The tone is warm and especially the microphone is very solid, I did fell and remained flawless phew, good quality.</v>
      </c>
    </row>
    <row r="1186">
      <c r="A1186" s="1">
        <v>5.0</v>
      </c>
      <c r="B1186" s="1" t="s">
        <v>1183</v>
      </c>
      <c r="C1186" t="str">
        <f>IFERROR(__xludf.DUMMYFUNCTION("GOOGLETRANSLATE(B1186, ""fr"", ""en"")"),"Gift We had fun with this microphone. Great gift!")</f>
        <v>Gift We had fun with this microphone. Great gift!</v>
      </c>
    </row>
    <row r="1187">
      <c r="A1187" s="1">
        <v>5.0</v>
      </c>
      <c r="B1187" s="1" t="s">
        <v>1184</v>
      </c>
      <c r="C1187" t="str">
        <f>IFERROR(__xludf.DUMMYFUNCTION("GOOGLETRANSLATE(B1187, ""fr"", ""en"")"),"Excellent product Wedding Ceremony")</f>
        <v>Excellent product Wedding Ceremony</v>
      </c>
    </row>
    <row r="1188">
      <c r="A1188" s="1">
        <v>5.0</v>
      </c>
      <c r="B1188" s="1" t="s">
        <v>1185</v>
      </c>
      <c r="C1188" t="str">
        <f>IFERROR(__xludf.DUMMYFUNCTION("GOOGLETRANSLATE(B1188, ""fr"", ""en"")"),"Beautiful watch that works alone Delivery is fast and simple packaging. Inside a simple watch that is accurate time alone. The metal bracelet and finishing of the dial give the watch a quality feeling. Although the keys are a bit hard, the functions are f"&amp;"airly simple to parameterize. Started only a few days, I like it a lot.")</f>
        <v>Beautiful watch that works alone Delivery is fast and simple packaging. Inside a simple watch that is accurate time alone. The metal bracelet and finishing of the dial give the watch a quality feeling. Although the keys are a bit hard, the functions are fairly simple to parameterize. Started only a few days, I like it a lot.</v>
      </c>
    </row>
    <row r="1189">
      <c r="A1189" s="1">
        <v>5.0</v>
      </c>
      <c r="B1189" s="1" t="s">
        <v>1186</v>
      </c>
      <c r="C1189" t="str">
        <f>IFERROR(__xludf.DUMMYFUNCTION("GOOGLETRANSLATE(B1189, ""fr"", ""en"")"),"I recommend 100% very decent price for the quality of the received headphones. Beautiful design, does not hurt the ears. The most important- I is is dropped several times in the water and he never had anything. I recommend!")</f>
        <v>I recommend 100% very decent price for the quality of the received headphones. Beautiful design, does not hurt the ears. The most important- I is is dropped several times in the water and he never had anything. I recommend!</v>
      </c>
    </row>
    <row r="1190">
      <c r="A1190" s="1">
        <v>5.0</v>
      </c>
      <c r="B1190" s="1" t="s">
        <v>1187</v>
      </c>
      <c r="C1190" t="str">
        <f>IFERROR(__xludf.DUMMYFUNCTION("GOOGLETRANSLATE(B1190, ""fr"", ""en"")"),"Handy! I took this show as part of a backpacking trip for several months, without regret! To: + inexpensive, if he happens to an ""accident"" is not dramatic discreet + (ideal for small wrists unlike barometers watches ...) + life at large (and battery st"&amp;"rength ! box) + timeless (... or outdated always it depends :-)) Neutral or suspicious: ~ bracelet still stands, but actually (to bounce on other reviews) is often the first point loose on this type of watch! ~ The alarm is (too) quiet")</f>
        <v>Handy! I took this show as part of a backpacking trip for several months, without regret! To: + inexpensive, if he happens to an "accident" is not dramatic discreet + (ideal for small wrists unlike barometers watches ...) + life at large (and battery strength ! box) + timeless (... or outdated always it depends :-)) Neutral or suspicious: ~ bracelet still stands, but actually (to bounce on other reviews) is often the first point loose on this type of watch! ~ The alarm is (too) quiet</v>
      </c>
    </row>
    <row r="1191">
      <c r="A1191" s="1">
        <v>5.0</v>
      </c>
      <c r="B1191" s="1" t="s">
        <v>1188</v>
      </c>
      <c r="C1191" t="str">
        <f>IFERROR(__xludf.DUMMYFUNCTION("GOOGLETRANSLATE(B1191, ""fr"", ""en"")"),"Nikel Great value")</f>
        <v>Nikel Great value</v>
      </c>
    </row>
    <row r="1192">
      <c r="A1192" s="1">
        <v>5.0</v>
      </c>
      <c r="B1192" s="1" t="s">
        <v>1189</v>
      </c>
      <c r="C1192" t="str">
        <f>IFERROR(__xludf.DUMMYFUNCTION("GOOGLETRANSLATE(B1192, ""fr"", ""en"")"),"good article right product very well I hope his walk tripe protection")</f>
        <v>good article right product very well I hope his walk tripe protection</v>
      </c>
    </row>
    <row r="1193">
      <c r="A1193" s="1">
        <v>5.0</v>
      </c>
      <c r="B1193" s="1" t="s">
        <v>1190</v>
      </c>
      <c r="C1193" t="str">
        <f>IFERROR(__xludf.DUMMYFUNCTION("GOOGLETRANSLATE(B1193, ""fr"", ""en"")"),"Perfect to become the next Messy The product meets and good quality. Wool is soft and thick enough. I recommend this product without hesitation.")</f>
        <v>Perfect to become the next Messy The product meets and good quality. Wool is soft and thick enough. I recommend this product without hesitation.</v>
      </c>
    </row>
    <row r="1194">
      <c r="A1194" s="1">
        <v>5.0</v>
      </c>
      <c r="B1194" s="1" t="s">
        <v>1191</v>
      </c>
      <c r="C1194" t="str">
        <f>IFERROR(__xludf.DUMMYFUNCTION("GOOGLETRANSLATE(B1194, ""fr"", ""en"")"),"Tap very comfortable! They are very nice, I left them more, it constantly sounds at my feet!")</f>
        <v>Tap very comfortable! They are very nice, I left them more, it constantly sounds at my feet!</v>
      </c>
    </row>
    <row r="1195">
      <c r="A1195" s="1">
        <v>5.0</v>
      </c>
      <c r="B1195" s="1" t="s">
        <v>1192</v>
      </c>
      <c r="C1195" t="str">
        <f>IFERROR(__xludf.DUMMYFUNCTION("GOOGLETRANSLATE(B1195, ""fr"", ""en"")"),"No more Reduces colic amount colic! For large flow against for baby 2 months anyway.")</f>
        <v>No more Reduces colic amount colic! For large flow against for baby 2 months anyway.</v>
      </c>
    </row>
    <row r="1196">
      <c r="A1196" s="1">
        <v>5.0</v>
      </c>
      <c r="B1196" s="1" t="s">
        <v>1193</v>
      </c>
      <c r="C1196" t="str">
        <f>IFERROR(__xludf.DUMMYFUNCTION("GOOGLETRANSLATE(B1196, ""fr"", ""en"")"),"satisfied but a good cartridge regret but its high price allows Canon to compensate for the low price of its printers")</f>
        <v>satisfied but a good cartridge regret but its high price allows Canon to compensate for the low price of its printers</v>
      </c>
    </row>
    <row r="1197">
      <c r="A1197" s="1">
        <v>5.0</v>
      </c>
      <c r="B1197" s="1" t="s">
        <v>1194</v>
      </c>
      <c r="C1197" t="str">
        <f>IFERROR(__xludf.DUMMYFUNCTION("GOOGLETRANSLATE(B1197, ""fr"", ""en"")"),"Perfect Good quality, sends fast and well packaged. I recommend this purchase, for just a small bag containing what it takes.")</f>
        <v>Perfect Good quality, sends fast and well packaged. I recommend this purchase, for just a small bag containing what it takes.</v>
      </c>
    </row>
    <row r="1198">
      <c r="A1198" s="1">
        <v>5.0</v>
      </c>
      <c r="B1198" s="1" t="s">
        <v>1195</v>
      </c>
      <c r="C1198" t="str">
        <f>IFERROR(__xludf.DUMMYFUNCTION("GOOGLETRANSLATE(B1198, ""fr"", ""en"")"),"Good product. Received on time and in line with my expectations.")</f>
        <v>Good product. Received on time and in line with my expectations.</v>
      </c>
    </row>
    <row r="1199">
      <c r="A1199" s="1">
        <v>5.0</v>
      </c>
      <c r="B1199" s="1" t="s">
        <v>1196</v>
      </c>
      <c r="C1199" t="str">
        <f>IFERROR(__xludf.DUMMYFUNCTION("GOOGLETRANSLATE(B1199, ""fr"", ""en"")"),"Pretty cool shows and packaged the same as the picture, but the default is that the numbers only go up to double-digit millions. (Anastasius, 10 years)")</f>
        <v>Pretty cool shows and packaged the same as the picture, but the default is that the numbers only go up to double-digit millions. (Anastasius, 10 years)</v>
      </c>
    </row>
    <row r="1200">
      <c r="A1200" s="1">
        <v>5.0</v>
      </c>
      <c r="B1200" s="1" t="s">
        <v>1197</v>
      </c>
      <c r="C1200" t="str">
        <f>IFERROR(__xludf.DUMMYFUNCTION("GOOGLETRANSLATE(B1200, ""fr"", ""en"")"),"Simple and Natural our great pediatrician has always been against sterilizers since the time of pellets could bring a dose of external agents. Here no worries, sterilization is done by steam. The inside of bottles and nipples will be effectively sterilize"&amp;"d and they will be ready to be filled again. Imposing but replaces two devices. We love the simplicity and safety of the system.")</f>
        <v>Simple and Natural our great pediatrician has always been against sterilizers since the time of pellets could bring a dose of external agents. Here no worries, sterilization is done by steam. The inside of bottles and nipples will be effectively sterilized and they will be ready to be filled again. Imposing but replaces two devices. We love the simplicity and safety of the system.</v>
      </c>
    </row>
    <row r="1201">
      <c r="A1201" s="1">
        <v>2.0</v>
      </c>
      <c r="B1201" s="1" t="s">
        <v>1198</v>
      </c>
      <c r="C1201" t="str">
        <f>IFERROR(__xludf.DUMMYFUNCTION("GOOGLETRANSLATE(B1201, ""fr"", ""en"")"),"Defects That makes 9 months I have this watch, and really, it's fine. Or at least it is beautiful, there are no complaints about its appearance. However ... the needles are virtually invisible in the dark while being phosphorescent, they should shine. The"&amp;"n the leather inside of the wrist begins to open. Above all, the weak point is the smell. Do not expect more rest your head in your hand, the smell wakes you up right away ... I washed and waxed brush, nothing happens, the smell always ends up back. I hav"&amp;"e already worn leather watches but this is the first to do this to me.")</f>
        <v>Defects That makes 9 months I have this watch, and really, it's fine. Or at least it is beautiful, there are no complaints about its appearance. However ... the needles are virtually invisible in the dark while being phosphorescent, they should shine. Then the leather inside of the wrist begins to open. Above all, the weak point is the smell. Do not expect more rest your head in your hand, the smell wakes you up right away ... I washed and waxed brush, nothing happens, the smell always ends up back. I have already worn leather watches but this is the first to do this to me.</v>
      </c>
    </row>
    <row r="1202">
      <c r="A1202" s="1">
        <v>1.0</v>
      </c>
      <c r="B1202" s="1" t="s">
        <v>1199</v>
      </c>
      <c r="C1202" t="str">
        <f>IFERROR(__xludf.DUMMYFUNCTION("GOOGLETRANSLATE(B1202, ""fr"", ""en"")"),"Device in total failure in the first week! To flee!!! First purchase of this device in October 2018, which breaks down six months later (impossible to start). Back warranty Amazon which recognizes the problem t proposes sending a new one. I accept this pr"&amp;"oposal satisfactory and receives the new device. Unfortunately it has the same defect after a week of erratic behavior. I should have accepted the repayment also offered by Amazon. I returned this second copy and awaits an offer from Amazon. Model away !!"&amp;"!")</f>
        <v>Device in total failure in the first week! To flee!!! First purchase of this device in October 2018, which breaks down six months later (impossible to start). Back warranty Amazon which recognizes the problem t proposes sending a new one. I accept this proposal satisfactory and receives the new device. Unfortunately it has the same defect after a week of erratic behavior. I should have accepted the repayment also offered by Amazon. I returned this second copy and awaits an offer from Amazon. Model away !!!</v>
      </c>
    </row>
    <row r="1203">
      <c r="A1203" s="1">
        <v>1.0</v>
      </c>
      <c r="B1203" s="1" t="s">
        <v>1200</v>
      </c>
      <c r="C1203" t="str">
        <f>IFERROR(__xludf.DUMMYFUNCTION("GOOGLETRANSLATE(B1203, ""fr"", ""en"")"),"Bad Hum 3M Scotch? notice, it may be lowered as 3M, so that it tears just the drop. Unless there are two scotch factories: one that manufactures tape and the other is ... uh ... it ... well that yellow thing.")</f>
        <v>Bad Hum 3M Scotch? notice, it may be lowered as 3M, so that it tears just the drop. Unless there are two scotch factories: one that manufactures tape and the other is ... uh ... it ... well that yellow thing.</v>
      </c>
    </row>
    <row r="1204">
      <c r="A1204" s="1">
        <v>3.0</v>
      </c>
      <c r="B1204" s="1" t="s">
        <v>1201</v>
      </c>
      <c r="C1204" t="str">
        <f>IFERROR(__xludf.DUMMYFUNCTION("GOOGLETRANSLATE(B1204, ""fr"", ""en"")"),"Does its work without further It heats well and works but its shape is not ideal: this round the neck will heat only the lower neck, possibly trapezoids. At least lie down, difficult to reach neck top.")</f>
        <v>Does its work without further It heats well and works but its shape is not ideal: this round the neck will heat only the lower neck, possibly trapezoids. At least lie down, difficult to reach neck top.</v>
      </c>
    </row>
    <row r="1205">
      <c r="A1205" s="1">
        <v>4.0</v>
      </c>
      <c r="B1205" s="1" t="s">
        <v>1202</v>
      </c>
      <c r="C1205" t="str">
        <f>IFERROR(__xludf.DUMMYFUNCTION("GOOGLETRANSLATE(B1205, ""fr"", ""en"")"),"well thought but beware of leaks ... Bottle warmer both simple and well thought out. Just be used to warm bottles 2 in the output. One bemole, a leak has occurred in the cap, I found my diaper bag soaked! I'm good effect bookings the system leak persists.")</f>
        <v>well thought but beware of leaks ... Bottle warmer both simple and well thought out. Just be used to warm bottles 2 in the output. One bemole, a leak has occurred in the cap, I found my diaper bag soaked! I'm good effect bookings the system leak persists.</v>
      </c>
    </row>
    <row r="1206">
      <c r="A1206" s="1">
        <v>4.0</v>
      </c>
      <c r="B1206" s="1" t="s">
        <v>1203</v>
      </c>
      <c r="C1206" t="str">
        <f>IFERROR(__xludf.DUMMYFUNCTION("GOOGLETRANSLATE(B1206, ""fr"", ""en"")"),"Well Well compliant")</f>
        <v>Well Well compliant</v>
      </c>
    </row>
    <row r="1207">
      <c r="A1207" s="1">
        <v>4.0</v>
      </c>
      <c r="B1207" s="1" t="s">
        <v>1204</v>
      </c>
      <c r="C1207" t="str">
        <f>IFERROR(__xludf.DUMMYFUNCTION("GOOGLETRANSLATE(B1207, ""fr"", ""en"")"),"VERY GOOD PRODUCT ditto")</f>
        <v>VERY GOOD PRODUCT ditto</v>
      </c>
    </row>
    <row r="1208">
      <c r="A1208" s="1">
        <v>4.0</v>
      </c>
      <c r="B1208" s="1" t="s">
        <v>1205</v>
      </c>
      <c r="C1208" t="str">
        <f>IFERROR(__xludf.DUMMYFUNCTION("GOOGLETRANSLATE(B1208, ""fr"", ""en"")"),"While cut My little girl is delighted to this and as it is a princess: she will return on your shelves!")</f>
        <v>While cut My little girl is delighted to this and as it is a princess: she will return on your shelves!</v>
      </c>
    </row>
    <row r="1209">
      <c r="A1209" s="1">
        <v>4.0</v>
      </c>
      <c r="B1209" s="1" t="s">
        <v>1206</v>
      </c>
      <c r="C1209" t="str">
        <f>IFERROR(__xludf.DUMMYFUNCTION("GOOGLETRANSLATE(B1209, ""fr"", ""en"")"),"It's cool Although this essential oil .... nothing to say to do good with a natural remedy and without chemical products. A test for those who love essential oils.")</f>
        <v>It's cool Although this essential oil .... nothing to say to do good with a natural remedy and without chemical products. A test for those who love essential oils.</v>
      </c>
    </row>
    <row r="1210">
      <c r="A1210" s="1">
        <v>5.0</v>
      </c>
      <c r="B1210" s="1" t="s">
        <v>1207</v>
      </c>
      <c r="C1210" t="str">
        <f>IFERROR(__xludf.DUMMYFUNCTION("GOOGLETRANSLATE(B1210, ""fr"", ""en"")"),"that the excellent quality French brand dodie for this pretty box birth I am faithful to DODIE that I have used for years for my babies that I have to take care as a nanny. this box is very pretty and has everything needed for a child from birth to 3 mont"&amp;"hs, or a little more. There are 3 glass bottles like buying in very good pharmacies and 3 teats anti-colic, they will have the shape of the womb and a lollipop from birth to 3 months. I always take when I am aware of this brand with its French manufacturi"&amp;"ng, a sign of high quality and especially that are guaranteed BPA or bisphenol a.")</f>
        <v>that the excellent quality French brand dodie for this pretty box birth I am faithful to DODIE that I have used for years for my babies that I have to take care as a nanny. this box is very pretty and has everything needed for a child from birth to 3 months, or a little more. There are 3 glass bottles like buying in very good pharmacies and 3 teats anti-colic, they will have the shape of the womb and a lollipop from birth to 3 months. I always take when I am aware of this brand with its French manufacturing, a sign of high quality and especially that are guaranteed BPA or bisphenol a.</v>
      </c>
    </row>
    <row r="1211">
      <c r="A1211" s="1">
        <v>5.0</v>
      </c>
      <c r="B1211" s="1" t="s">
        <v>1208</v>
      </c>
      <c r="C1211" t="str">
        <f>IFERROR(__xludf.DUMMYFUNCTION("GOOGLETRANSLATE(B1211, ""fr"", ""en"")"),"but impeccable attention to size! very good quality, no defects, to € 85.84 return delivered more free, can not beat that! (Especially not timber) If ordered 22-12-16, received on 23 .......... I wanted for a long time! Thanks again ! PS I put on the 41.5"&amp;" but thanks to other reviews, I ordered two pairs with a size of size below which saved me return them !!! &lt;A data-hook = ""product-link-linked"" class = ""a-link-normal"" href = ""/ Caterpillar Colorado-Boots-Chukka-man-Black-Black-41-EU / dp / B0050B40V"&amp;"E / ref = cm_cr_arp_d_rvw_txt? ie = UTF8 ""&gt; Caterpillar Colorado Boots Chukka man, Black (Black), 41 EU &lt;/a&gt; &lt;a data-hook ="" product-link-linked ""class ="" link-to-normal ""href ="" / Caterpillar Colorado-Boots-Chukka-man-Brown-Chocolate-41-EU / dp / B"&amp;"001HB5XP8 / ref = cm_cr_arp_d_rvw_txt? ie = UTF8 ""&gt; Caterpillar Colorado Men Chukka Boots Brown (Chocolate), 41 EU &lt;/a&gt;")</f>
        <v>but impeccable attention to size! very good quality, no defects, to € 85.84 return delivered more free, can not beat that! (Especially not timber) If ordered 22-12-16, received on 23 .......... I wanted for a long time! Thanks again ! PS I put on the 41.5 but thanks to other reviews, I ordered two pairs with a size of size below which saved me return them !!! &lt;A data-hook = "product-link-linked" class = "a-link-normal" href = "/ Caterpillar Colorado-Boots-Chukka-man-Black-Black-41-EU / dp / B0050B40VE / ref = cm_cr_arp_d_rvw_txt? ie = UTF8 "&gt; Caterpillar Colorado Boots Chukka man, Black (Black), 41 EU &lt;/a&gt; &lt;a data-hook =" product-link-linked "class =" link-to-normal "href =" / Caterpillar Colorado-Boots-Chukka-man-Brown-Chocolate-41-EU / dp / B001HB5XP8 / ref = cm_cr_arp_d_rvw_txt? ie = UTF8 "&gt; Caterpillar Colorado Men Chukka Boots Brown (Chocolate), 41 EU &lt;/a&gt;</v>
      </c>
    </row>
    <row r="1212">
      <c r="A1212" s="1">
        <v>5.0</v>
      </c>
      <c r="B1212" s="1" t="s">
        <v>1209</v>
      </c>
      <c r="C1212" t="str">
        <f>IFERROR(__xludf.DUMMYFUNCTION("GOOGLETRANSLATE(B1212, ""fr"", ""en"")"),"Size clothing suitable. Quick delivery. Promotion price. Aesthetics, simplicity, quality, size L adapted. Very good sweet Adidas.")</f>
        <v>Size clothing suitable. Quick delivery. Promotion price. Aesthetics, simplicity, quality, size L adapted. Very good sweet Adidas.</v>
      </c>
    </row>
    <row r="1213">
      <c r="A1213" s="1">
        <v>5.0</v>
      </c>
      <c r="B1213" s="1" t="s">
        <v>1210</v>
      </c>
      <c r="C1213" t="str">
        <f>IFERROR(__xludf.DUMMYFUNCTION("GOOGLETRANSLATE(B1213, ""fr"", ""en"")"),"Converse all star Order no problem")</f>
        <v>Converse all star Order no problem</v>
      </c>
    </row>
    <row r="1214">
      <c r="A1214" s="1">
        <v>5.0</v>
      </c>
      <c r="B1214" s="1" t="s">
        <v>1211</v>
      </c>
      <c r="C1214" t="str">
        <f>IFERROR(__xludf.DUMMYFUNCTION("GOOGLETRANSLATE(B1214, ""fr"", ""en"")"),"Earrings Female ANGEL NINA Hello; Beautiful jewel beautifully made and especially that it is great pleasure to my little girls I recommend for all occasions")</f>
        <v>Earrings Female ANGEL NINA Hello; Beautiful jewel beautifully made and especially that it is great pleasure to my little girls I recommend for all occasions</v>
      </c>
    </row>
    <row r="1215">
      <c r="A1215" s="1">
        <v>5.0</v>
      </c>
      <c r="B1215" s="1" t="s">
        <v>1212</v>
      </c>
      <c r="C1215" t="str">
        <f>IFERROR(__xludf.DUMMYFUNCTION("GOOGLETRANSLATE(B1215, ""fr"", ""en"")"),"Excellent value! Use with ink jet printer. Very good result. I just bought a laser printer, we'll see if the result is good. Anyway, great price, fast delivery and good quality.")</f>
        <v>Excellent value! Use with ink jet printer. Very good result. I just bought a laser printer, we'll see if the result is good. Anyway, great price, fast delivery and good quality.</v>
      </c>
    </row>
    <row r="1216">
      <c r="A1216" s="1">
        <v>5.0</v>
      </c>
      <c r="B1216" s="1" t="s">
        <v>1213</v>
      </c>
      <c r="C1216" t="str">
        <f>IFERROR(__xludf.DUMMYFUNCTION("GOOGLETRANSLATE(B1216, ""fr"", ""en"")"),"Hot hot! 🔥🍵 I have many Bosch products, I did not really think to buy this kettle. My choice fell on it because I love the color is gorgeous. I also have a toaster in this color it goes well. with my kitchen. No complaints about the use it is very easy "&amp;"you put water is pressed the button and it heats, kettle what 😁. I am that it was there the number of cups next to countenance. The markings are clearly visible and are up 1.7 L.")</f>
        <v>Hot hot! 🔥🍵 I have many Bosch products, I did not really think to buy this kettle. My choice fell on it because I love the color is gorgeous. I also have a toaster in this color it goes well. with my kitchen. No complaints about the use it is very easy you put water is pressed the button and it heats, kettle what 😁. I am that it was there the number of cups next to countenance. The markings are clearly visible and are up 1.7 L.</v>
      </c>
    </row>
    <row r="1217">
      <c r="A1217" s="1">
        <v>5.0</v>
      </c>
      <c r="B1217" s="1" t="s">
        <v>1214</v>
      </c>
      <c r="C1217" t="str">
        <f>IFERROR(__xludf.DUMMYFUNCTION("GOOGLETRANSLATE(B1217, ""fr"", ""en"")"),"Perfect Perfect for filtering the constant pounding noise. Small flats on the voices that pass still through the filter. The sound is still very low oriented (a priori a constant Bose)")</f>
        <v>Perfect Perfect for filtering the constant pounding noise. Small flats on the voices that pass still through the filter. The sound is still very low oriented (a priori a constant Bose)</v>
      </c>
    </row>
    <row r="1218">
      <c r="A1218" s="1">
        <v>5.0</v>
      </c>
      <c r="B1218" s="1" t="s">
        <v>1215</v>
      </c>
      <c r="C1218" t="str">
        <f>IFERROR(__xludf.DUMMYFUNCTION("GOOGLETRANSLATE(B1218, ""fr"", ""en"")"),"Slippers super hot slippers and pleasant, before buying I had watched commantaires and I did well, as they apparently carved small I took a size bigger, so it was parfais level size and smell nasty glue, I brought soaked overnight in the lesive then some "&amp;"adoussissant, drying outside, and smell. I recommend")</f>
        <v>Slippers super hot slippers and pleasant, before buying I had watched commantaires and I did well, as they apparently carved small I took a size bigger, so it was parfais level size and smell nasty glue, I brought soaked overnight in the lesive then some adoussissant, drying outside, and smell. I recommend</v>
      </c>
    </row>
    <row r="1219">
      <c r="A1219" s="1">
        <v>5.0</v>
      </c>
      <c r="B1219" s="1" t="s">
        <v>1216</v>
      </c>
      <c r="C1219" t="str">
        <f>IFERROR(__xludf.DUMMYFUNCTION("GOOGLETRANSLATE(B1219, ""fr"", ""en"")"),"Comfortable Headphones are efficient and comfortable, these are his two main positives. Also, the sound is clear and I also noticed that he walked a few meters away more than my old helmet (which cost the same price) so it allows me to walk with me in the"&amp;" house. After several hours of use I still have the battery. The buttons are intuitive and after testing, the sound is very content and very little audible to those who do not wear helmets. No risk of disturbing the shot. I recommend this purchase for lim"&amp;"ited budgets and for those looking for something light and efficient.")</f>
        <v>Comfortable Headphones are efficient and comfortable, these are his two main positives. Also, the sound is clear and I also noticed that he walked a few meters away more than my old helmet (which cost the same price) so it allows me to walk with me in the house. After several hours of use I still have the battery. The buttons are intuitive and after testing, the sound is very content and very little audible to those who do not wear helmets. No risk of disturbing the shot. I recommend this purchase for limited budgets and for those looking for something light and efficient.</v>
      </c>
    </row>
    <row r="1220">
      <c r="A1220" s="1">
        <v>5.0</v>
      </c>
      <c r="B1220" s="1" t="s">
        <v>1217</v>
      </c>
      <c r="C1220" t="str">
        <f>IFERROR(__xludf.DUMMYFUNCTION("GOOGLETRANSLATE(B1220, ""fr"", ""en"")"),"Excellent gift for my mother who had a sore neck, she loves, she does without really recommend it. I tested this and is comfortable when heated it is simply enjoyable.")</f>
        <v>Excellent gift for my mother who had a sore neck, she loves, she does without really recommend it. I tested this and is comfortable when heated it is simply enjoyable.</v>
      </c>
    </row>
    <row r="1221">
      <c r="A1221" s="1">
        <v>5.0</v>
      </c>
      <c r="B1221" s="1" t="s">
        <v>1218</v>
      </c>
      <c r="C1221" t="str">
        <f>IFERROR(__xludf.DUMMYFUNCTION("GOOGLETRANSLATE(B1221, ""fr"", ""en"")"),"Leather strap Hello received in due time, pleasantly surprised well packaged and easily mounted I advice!")</f>
        <v>Leather strap Hello received in due time, pleasantly surprised well packaged and easily mounted I advice!</v>
      </c>
    </row>
    <row r="1222">
      <c r="A1222" s="1">
        <v>5.0</v>
      </c>
      <c r="B1222" s="1" t="s">
        <v>1219</v>
      </c>
      <c r="C1222" t="str">
        <f>IFERROR(__xludf.DUMMYFUNCTION("GOOGLETRANSLATE(B1222, ""fr"", ""en"")"),"Security Slipper Conforms to the description on the site. The size is perfect (with 43 foot wide). Security slippers. Light and flexible use indoors and in a really Warning office made for projects")</f>
        <v>Security Slipper Conforms to the description on the site. The size is perfect (with 43 foot wide). Security slippers. Light and flexible use indoors and in a really Warning office made for projects</v>
      </c>
    </row>
    <row r="1223">
      <c r="A1223" s="1">
        <v>5.0</v>
      </c>
      <c r="B1223" s="1" t="s">
        <v>1220</v>
      </c>
      <c r="C1223" t="str">
        <f>IFERROR(__xludf.DUMMYFUNCTION("GOOGLETRANSLATE(B1223, ""fr"", ""en"")"),"This is THE CONQUERED support sports bra !! I do fitness, walking, running for more than 15 years and I've never worn such support throat! There is no reinforcement, maintaining impeccable. I jumped for 5 minutes like crazy so I did not believe. The more "&amp;"is the swimmer back. I do a good 90 D with a small back, size 38 and I am delighted. This bra widely beats other brands in which I've invested. And the price is unbeatable. I RECOMMEND, no regrets. Satisfied with the fast delivery: 2 days!")</f>
        <v>This is THE CONQUERED support sports bra !! I do fitness, walking, running for more than 15 years and I've never worn such support throat! There is no reinforcement, maintaining impeccable. I jumped for 5 minutes like crazy so I did not believe. The more is the swimmer back. I do a good 90 D with a small back, size 38 and I am delighted. This bra widely beats other brands in which I've invested. And the price is unbeatable. I RECOMMEND, no regrets. Satisfied with the fast delivery: 2 days!</v>
      </c>
    </row>
    <row r="1224">
      <c r="A1224" s="1">
        <v>5.0</v>
      </c>
      <c r="B1224" s="1" t="s">
        <v>1221</v>
      </c>
      <c r="C1224" t="str">
        <f>IFERROR(__xludf.DUMMYFUNCTION("GOOGLETRANSLATE(B1224, ""fr"", ""en"")"),"Size good and comfortable size and very comfortable")</f>
        <v>Size good and comfortable size and very comfortable</v>
      </c>
    </row>
    <row r="1225">
      <c r="A1225" s="1">
        <v>2.0</v>
      </c>
      <c r="B1225" s="1" t="s">
        <v>1222</v>
      </c>
      <c r="C1225" t="str">
        <f>IFERROR(__xludf.DUMMYFUNCTION("GOOGLETRANSLATE(B1225, ""fr"", ""en"")"),"Not really A4! Disappointed, I bought this bag thinking get a real A4 as specified in dimensions and patterns, but in reality the closed bag measures 28cm and 30cm non. If you want to put an A4 document in that bag, it will at least leave the zip top wide"&amp;" open, and stretch the flap up to the two Velcro are barely touching. See attached photos of 3 closed bag (with measures) with open A4 documents, and ""closed"" with the same documents A4 (flexible than ten pages, and folded at the bottom to be able to cl"&amp;"ose the Velcro) . The true dimensions should be presented, or at least indicate that the storage A4 is only possible with the open bag.")</f>
        <v>Not really A4! Disappointed, I bought this bag thinking get a real A4 as specified in dimensions and patterns, but in reality the closed bag measures 28cm and 30cm non. If you want to put an A4 document in that bag, it will at least leave the zip top wide open, and stretch the flap up to the two Velcro are barely touching. See attached photos of 3 closed bag (with measures) with open A4 documents, and "closed" with the same documents A4 (flexible than ten pages, and folded at the bottom to be able to close the Velcro) . The true dimensions should be presented, or at least indicate that the storage A4 is only possible with the open bag.</v>
      </c>
    </row>
    <row r="1226">
      <c r="A1226" s="1">
        <v>1.0</v>
      </c>
      <c r="B1226" s="1" t="s">
        <v>1223</v>
      </c>
      <c r="C1226" t="str">
        <f>IFERROR(__xludf.DUMMYFUNCTION("GOOGLETRANSLATE(B1226, ""fr"", ""en"")"),"Nothing to do with the photos Not satisfied at all I bought the black page to fill in a guestbook for my wedding the result is zero. The colors do not match the sales we see almost nothing even after complete drying of the felt. I am very disappointed.")</f>
        <v>Nothing to do with the photos Not satisfied at all I bought the black page to fill in a guestbook for my wedding the result is zero. The colors do not match the sales we see almost nothing even after complete drying of the felt. I am very disappointed.</v>
      </c>
    </row>
    <row r="1227">
      <c r="A1227" s="1">
        <v>3.0</v>
      </c>
      <c r="B1227" s="1" t="s">
        <v>1224</v>
      </c>
      <c r="C1227" t="str">
        <f>IFERROR(__xludf.DUMMYFUNCTION("GOOGLETRANSLATE(B1227, ""fr"", ""en"")"),"great as the pictures well epait")</f>
        <v>great as the pictures well epait</v>
      </c>
    </row>
    <row r="1228">
      <c r="A1228" s="1">
        <v>3.0</v>
      </c>
      <c r="B1228" s="1" t="s">
        <v>1225</v>
      </c>
      <c r="C1228" t="str">
        <f>IFERROR(__xludf.DUMMYFUNCTION("GOOGLETRANSLATE(B1228, ""fr"", ""en"")"),"Satisfied size level we are not happy. He put anywhere on the description of the item is a US size ... If we had known we have directly ordered the size bigger .... The size is controlled 45/46 a size 11. But we'll take this pair anyway.")</f>
        <v>Satisfied size level we are not happy. He put anywhere on the description of the item is a US size ... If we had known we have directly ordered the size bigger .... The size is controlled 45/46 a size 11. But we'll take this pair anyway.</v>
      </c>
    </row>
    <row r="1229">
      <c r="A1229" s="1">
        <v>4.0</v>
      </c>
      <c r="B1229" s="1" t="s">
        <v>1226</v>
      </c>
      <c r="C1229" t="str">
        <f>IFERROR(__xludf.DUMMYFUNCTION("GOOGLETRANSLATE(B1229, ""fr"", ""en"")"),"Good quality, aesthetic and trendy Very nice sweater beautiful quality, beautiful color! Purchased size S for a teenager almost 14 years measuring 1.62 meters. He loves ...")</f>
        <v>Good quality, aesthetic and trendy Very nice sweater beautiful quality, beautiful color! Purchased size S for a teenager almost 14 years measuring 1.62 meters. He loves ...</v>
      </c>
    </row>
    <row r="1230">
      <c r="A1230" s="1">
        <v>4.0</v>
      </c>
      <c r="B1230" s="1" t="s">
        <v>1227</v>
      </c>
      <c r="C1230" t="str">
        <f>IFERROR(__xludf.DUMMYFUNCTION("GOOGLETRANSLATE(B1230, ""fr"", ""en"")"),"Compatible with my Canon MG7750 I use these replacement cartridges original ones for my Canon MG7750 printer. For now, everything works perfectly. For the rest, the color rendering and printing B / are consistent with what you get with original ink cartri"&amp;"dges from Canon brand. To validate the length.")</f>
        <v>Compatible with my Canon MG7750 I use these replacement cartridges original ones for my Canon MG7750 printer. For now, everything works perfectly. For the rest, the color rendering and printing B / are consistent with what you get with original ink cartridges from Canon brand. To validate the length.</v>
      </c>
    </row>
    <row r="1231">
      <c r="A1231" s="1">
        <v>4.0</v>
      </c>
      <c r="B1231" s="1" t="s">
        <v>1228</v>
      </c>
      <c r="C1231" t="str">
        <f>IFERROR(__xludf.DUMMYFUNCTION("GOOGLETRANSLATE(B1231, ""fr"", ""en"")"),"very good pair of ballerina purchase black and white, the two pairs are of good quality; size big enough attention anyway. the sole insulates the foot")</f>
        <v>very good pair of ballerina purchase black and white, the two pairs are of good quality; size big enough attention anyway. the sole insulates the foot</v>
      </c>
    </row>
    <row r="1232">
      <c r="A1232" s="1">
        <v>4.0</v>
      </c>
      <c r="B1232" s="1" t="s">
        <v>1229</v>
      </c>
      <c r="C1232" t="str">
        <f>IFERROR(__xludf.DUMMYFUNCTION("GOOGLETRANSLATE(B1232, ""fr"", ""en"")"),"Feeling good in his shoes I have not used these boots but tried them, they Shoe to the exact size and are comfortable.")</f>
        <v>Feeling good in his shoes I have not used these boots but tried them, they Shoe to the exact size and are comfortable.</v>
      </c>
    </row>
    <row r="1233">
      <c r="A1233" s="1">
        <v>5.0</v>
      </c>
      <c r="B1233" s="1" t="s">
        <v>1230</v>
      </c>
      <c r="C1233" t="str">
        <f>IFERROR(__xludf.DUMMYFUNCTION("GOOGLETRANSLATE(B1233, ""fr"", ""en"")"),"Article beautiful full superb quality really happy place my purchase I recommend the superb quality full item nice place really happy with my purchase I definitely recommend more very same photo")</f>
        <v>Article beautiful full superb quality really happy place my purchase I recommend the superb quality full item nice place really happy with my purchase I definitely recommend more very same photo</v>
      </c>
    </row>
    <row r="1234">
      <c r="A1234" s="1">
        <v>5.0</v>
      </c>
      <c r="B1234" s="1" t="s">
        <v>1231</v>
      </c>
      <c r="C1234" t="str">
        <f>IFERROR(__xludf.DUMMYFUNCTION("GOOGLETRANSLATE(B1234, ""fr"", ""en"")"),"A wake gently Revivals are complicated? Well, thanks to this light alarm clock, your awakenings will be with more softness ... Light brightens gradually room 30 minutes before the time indicated on your alarm. And let you also wake up to the sounds of the"&amp;" sea, the birds singing, the violin to others (among 6 pre + radio). The different settings are fairly simple to make, the document is comprehensive: adjustments to the front of the device and also on top (photo 3). What I also appreciate is the product o"&amp;"f design: rounded curves, sleek and zen effect, a handle at the back (see photo 3). To connect: either sector but beware there is a USB cord without the cap sector, either by batteries. For my son, this alarm clock also functions as pilot, various colors "&amp;"(white light and colors), you can choose a color or scrolling. Object that will appeal to children and adults! Delighted with my purchase! I advise!! And good awakening to all!")</f>
        <v>A wake gently Revivals are complicated? Well, thanks to this light alarm clock, your awakenings will be with more softness ... Light brightens gradually room 30 minutes before the time indicated on your alarm. And let you also wake up to the sounds of the sea, the birds singing, the violin to others (among 6 pre + radio). The different settings are fairly simple to make, the document is comprehensive: adjustments to the front of the device and also on top (photo 3). What I also appreciate is the product of design: rounded curves, sleek and zen effect, a handle at the back (see photo 3). To connect: either sector but beware there is a USB cord without the cap sector, either by batteries. For my son, this alarm clock also functions as pilot, various colors (white light and colors), you can choose a color or scrolling. Object that will appeal to children and adults! Delighted with my purchase! I advise!! And good awakening to all!</v>
      </c>
    </row>
    <row r="1235">
      <c r="A1235" s="1">
        <v>5.0</v>
      </c>
      <c r="B1235" s="1" t="s">
        <v>1232</v>
      </c>
      <c r="C1235" t="str">
        <f>IFERROR(__xludf.DUMMYFUNCTION("GOOGLETRANSLATE(B1235, ""fr"", ""en"")"),"Top cartridges. XL cartridges, doing very well their names. It can be seen that the weight compared to the original brand is really different. The printer tells you that if you do not use the origins cartridges you will lose the guarantee at the cost of i"&amp;"nk, I believe that these cartridges are well worth the cause. The integrated chips indicate you level as the original. To see in time how reacted the printer as the master builders all data from it. I advise these cartridges.")</f>
        <v>Top cartridges. XL cartridges, doing very well their names. It can be seen that the weight compared to the original brand is really different. The printer tells you that if you do not use the origins cartridges you will lose the guarantee at the cost of ink, I believe that these cartridges are well worth the cause. The integrated chips indicate you level as the original. To see in time how reacted the printer as the master builders all data from it. I advise these cartridges.</v>
      </c>
    </row>
    <row r="1236">
      <c r="A1236" s="1">
        <v>5.0</v>
      </c>
      <c r="B1236" s="1" t="s">
        <v>1233</v>
      </c>
      <c r="C1236" t="str">
        <f>IFERROR(__xludf.DUMMYFUNCTION("GOOGLETRANSLATE(B1236, ""fr"", ""en"")"),"streamlined design Efficient to heat water. And its looks really sleek")</f>
        <v>streamlined design Efficient to heat water. And its looks really sleek</v>
      </c>
    </row>
    <row r="1237">
      <c r="A1237" s="1">
        <v>5.0</v>
      </c>
      <c r="B1237" s="1" t="s">
        <v>1234</v>
      </c>
      <c r="C1237" t="str">
        <f>IFERROR(__xludf.DUMMYFUNCTION("GOOGLETRANSLATE(B1237, ""fr"", ""en"")"),"Reveil smoothly Easy to use. Nice to extinguish complement brightness hour. Shame not to set different alarm times. Takes up little space allowing to win and not to clutter the nightstand. The gradual light intensity allows to wake up smoothly even before"&amp;" his chosen (Wave noise, bird, rain ..) sounds.")</f>
        <v>Reveil smoothly Easy to use. Nice to extinguish complement brightness hour. Shame not to set different alarm times. Takes up little space allowing to win and not to clutter the nightstand. The gradual light intensity allows to wake up smoothly even before his chosen (Wave noise, bird, rain ..) sounds.</v>
      </c>
    </row>
    <row r="1238">
      <c r="A1238" s="1">
        <v>5.0</v>
      </c>
      <c r="B1238" s="1" t="s">
        <v>1235</v>
      </c>
      <c r="C1238" t="str">
        <f>IFERROR(__xludf.DUMMYFUNCTION("GOOGLETRANSLATE(B1238, ""fr"", ""en"")"),". Perfect ! Absolutely nothing to say, perfect size, no default and very fast delivery!")</f>
        <v>. Perfect ! Absolutely nothing to say, perfect size, no default and very fast delivery!</v>
      </c>
    </row>
    <row r="1239">
      <c r="A1239" s="1">
        <v>5.0</v>
      </c>
      <c r="B1239" s="1" t="s">
        <v>1236</v>
      </c>
      <c r="C1239" t="str">
        <f>IFERROR(__xludf.DUMMYFUNCTION("GOOGLETRANSLATE(B1239, ""fr"", ""en"")"),"very well very well")</f>
        <v>very well very well</v>
      </c>
    </row>
    <row r="1240">
      <c r="A1240" s="1">
        <v>5.0</v>
      </c>
      <c r="B1240" s="1" t="s">
        <v>1237</v>
      </c>
      <c r="C1240" t="str">
        <f>IFERROR(__xludf.DUMMYFUNCTION("GOOGLETRANSLATE(B1240, ""fr"", ""en"")"),"A legging Hyperconfortable comfort in the original pattern. He cuts quite well, the tissue seems good quality and is very scalable. Adept leggings cheap (3/5 euro) does not regret my purchase.")</f>
        <v>A legging Hyperconfortable comfort in the original pattern. He cuts quite well, the tissue seems good quality and is very scalable. Adept leggings cheap (3/5 euro) does not regret my purchase.</v>
      </c>
    </row>
    <row r="1241">
      <c r="A1241" s="1">
        <v>5.0</v>
      </c>
      <c r="B1241" s="1" t="s">
        <v>1238</v>
      </c>
      <c r="C1241" t="str">
        <f>IFERROR(__xludf.DUMMYFUNCTION("GOOGLETRANSLATE(B1241, ""fr"", ""en"")"),"Very functional safety but had to add insoles inside as sole thick enough not below otherwise comfortable not feel like safety shoes on")</f>
        <v>Very functional safety but had to add insoles inside as sole thick enough not below otherwise comfortable not feel like safety shoes on</v>
      </c>
    </row>
    <row r="1242">
      <c r="A1242" s="1">
        <v>5.0</v>
      </c>
      <c r="B1242" s="1" t="s">
        <v>1239</v>
      </c>
      <c r="C1242" t="str">
        <f>IFERROR(__xludf.DUMMYFUNCTION("GOOGLETRANSLATE(B1242, ""fr"", ""en"")"),"This is a very good Kipling All is well: Kipling quality, the model exactly the right size and with lots of pockets, the capacity, the color (I ordered in beige), weight; I even used to take my laptop by plane ... Delivered on time ... Client satisfied!")</f>
        <v>This is a very good Kipling All is well: Kipling quality, the model exactly the right size and with lots of pockets, the capacity, the color (I ordered in beige), weight; I even used to take my laptop by plane ... Delivered on time ... Client satisfied!</v>
      </c>
    </row>
    <row r="1243">
      <c r="A1243" s="1">
        <v>5.0</v>
      </c>
      <c r="B1243" s="1" t="s">
        <v>1240</v>
      </c>
      <c r="C1243" t="str">
        <f>IFERROR(__xludf.DUMMYFUNCTION("GOOGLETRANSLATE(B1243, ""fr"", ""en"")"),"Perfect for HP Envy Photo 6232 I bought these cartridges for my printer HP Envy Photo 6232 and I had no worries. Cheaper than in stores so thrilled.")</f>
        <v>Perfect for HP Envy Photo 6232 I bought these cartridges for my printer HP Envy Photo 6232 and I had no worries. Cheaper than in stores so thrilled.</v>
      </c>
    </row>
    <row r="1244">
      <c r="A1244" s="1">
        <v>5.0</v>
      </c>
      <c r="B1244" s="1" t="s">
        <v>1241</v>
      </c>
      <c r="C1244" t="str">
        <f>IFERROR(__xludf.DUMMYFUNCTION("GOOGLETRANSLATE(B1244, ""fr"", ""en"")"),"What quality! the quality is top, even better than my AirPods apple. They also take much better ear. Autonomy is perfect. just out of the package, they log in to 5sec such .. not need to be handy or computer to run them. Watch the instructions well to the"&amp;" direction of ear update.")</f>
        <v>What quality! the quality is top, even better than my AirPods apple. They also take much better ear. Autonomy is perfect. just out of the package, they log in to 5sec such .. not need to be handy or computer to run them. Watch the instructions well to the direction of ear update.</v>
      </c>
    </row>
    <row r="1245">
      <c r="A1245" s="1">
        <v>5.0</v>
      </c>
      <c r="B1245" s="1" t="s">
        <v>1242</v>
      </c>
      <c r="C1245" t="str">
        <f>IFERROR(__xludf.DUMMYFUNCTION("GOOGLETRANSLATE(B1245, ""fr"", ""en"")"),"Top I love. Good performance and great good sense")</f>
        <v>Top I love. Good performance and great good sense</v>
      </c>
    </row>
    <row r="1246">
      <c r="A1246" s="1">
        <v>5.0</v>
      </c>
      <c r="B1246" s="1" t="s">
        <v>1243</v>
      </c>
      <c r="C1246" t="str">
        <f>IFERROR(__xludf.DUMMYFUNCTION("GOOGLETRANSLATE(B1246, ""fr"", ""en"")"),"They are parfaotes parfaotes")</f>
        <v>They are parfaotes parfaotes</v>
      </c>
    </row>
    <row r="1247">
      <c r="A1247" s="1">
        <v>5.0</v>
      </c>
      <c r="B1247" s="1" t="s">
        <v>1244</v>
      </c>
      <c r="C1247" t="str">
        <f>IFERROR(__xludf.DUMMYFUNCTION("GOOGLETRANSLATE(B1247, ""fr"", ""en"")"),"Perfect for the small price I just got it and use it to cut 20 pieces of cotton. It is top, it seems light but done perfectly the work.")</f>
        <v>Perfect for the small price I just got it and use it to cut 20 pieces of cotton. It is top, it seems light but done perfectly the work.</v>
      </c>
    </row>
    <row r="1248">
      <c r="A1248" s="1">
        <v>2.0</v>
      </c>
      <c r="B1248" s="1" t="s">
        <v>1245</v>
      </c>
      <c r="C1248" t="str">
        <f>IFERROR(__xludf.DUMMYFUNCTION("GOOGLETRANSLATE(B1248, ""fr"", ""en"")"),"not a fan :) It is a little forced to take these cartridges but the other day after printing, failing black cartridge, forced to change .... quick scam and you have to drink again if the filled not oneself (task which I brace myself).")</f>
        <v>not a fan :) It is a little forced to take these cartridges but the other day after printing, failing black cartridge, forced to change .... quick scam and you have to drink again if the filled not oneself (task which I brace myself).</v>
      </c>
    </row>
    <row r="1249">
      <c r="A1249" s="1">
        <v>1.0</v>
      </c>
      <c r="B1249" s="1" t="s">
        <v>1246</v>
      </c>
      <c r="C1249" t="str">
        <f>IFERROR(__xludf.DUMMYFUNCTION("GOOGLETRANSLATE(B1249, ""fr"", ""en"")"),"Bad experience I do not recommend at all this. A headset not only takes an hour when loaded. recurring micro cut problems. Flee poor fool.")</f>
        <v>Bad experience I do not recommend at all this. A headset not only takes an hour when loaded. recurring micro cut problems. Flee poor fool.</v>
      </c>
    </row>
    <row r="1250">
      <c r="A1250" s="1">
        <v>1.0</v>
      </c>
      <c r="B1250" s="1" t="s">
        <v>1247</v>
      </c>
      <c r="C1250" t="str">
        <f>IFERROR(__xludf.DUMMYFUNCTION("GOOGLETRANSLATE(B1250, ""fr"", ""en"")"),"Big regrets transforms the voice I bought this mic in order to make voice recordings. From a software (WavePad) on my computer, I experience ... when the microphone is not plugged in and the microphone of my computer supports recording, the tones of my vo"&amp;"ice are met (but the sound quality is not excellent); once the microphone plugged bird, the sound quality is much better, but the tone of my voice is totally changed !! After many tests, I see myself reduced to make my recording without a microphone, or s"&amp;"earch for another micro ..")</f>
        <v>Big regrets transforms the voice I bought this mic in order to make voice recordings. From a software (WavePad) on my computer, I experience ... when the microphone is not plugged in and the microphone of my computer supports recording, the tones of my voice are met (but the sound quality is not excellent); once the microphone plugged bird, the sound quality is much better, but the tone of my voice is totally changed !! After many tests, I see myself reduced to make my recording without a microphone, or search for another micro ..</v>
      </c>
    </row>
    <row r="1251">
      <c r="A1251" s="1">
        <v>3.0</v>
      </c>
      <c r="B1251" s="1" t="s">
        <v>1248</v>
      </c>
      <c r="C1251" t="str">
        <f>IFERROR(__xludf.DUMMYFUNCTION("GOOGLETRANSLATE(B1251, ""fr"", ""en"")"),"But comfortable grip on wet ground very bad comfortable, close to the ground and easy to put on. Size small: take 1/2 size larger. Big flaw that cost him a good score: very poor adhesion on wet ground! On the verge of dangerous. Too bad, because suddenly "&amp;"deep cleats that inspired confidence actually have little other purpose than to retain dirt ...")</f>
        <v>But comfortable grip on wet ground very bad comfortable, close to the ground and easy to put on. Size small: take 1/2 size larger. Big flaw that cost him a good score: very poor adhesion on wet ground! On the verge of dangerous. Too bad, because suddenly deep cleats that inspired confidence actually have little other purpose than to retain dirt ...</v>
      </c>
    </row>
    <row r="1252">
      <c r="A1252" s="1">
        <v>3.0</v>
      </c>
      <c r="B1252" s="1" t="s">
        <v>1249</v>
      </c>
      <c r="C1252" t="str">
        <f>IFERROR(__xludf.DUMMYFUNCTION("GOOGLETRANSLATE(B1252, ""fr"", ""en"")"),"Unfortunately it took the water so that it was sold for I have sealed the return. Nice watch.")</f>
        <v>Unfortunately it took the water so that it was sold for I have sealed the return. Nice watch.</v>
      </c>
    </row>
    <row r="1253">
      <c r="A1253" s="1">
        <v>4.0</v>
      </c>
      <c r="B1253" s="1" t="s">
        <v>1250</v>
      </c>
      <c r="C1253" t="str">
        <f>IFERROR(__xludf.DUMMYFUNCTION("GOOGLETRANSLATE(B1253, ""fr"", ""en"")"),"I just met the receiving For now just good light .. .. size holds up well to foot")</f>
        <v>I just met the receiving For now just good light .. .. size holds up well to foot</v>
      </c>
    </row>
    <row r="1254">
      <c r="A1254" s="1">
        <v>4.0</v>
      </c>
      <c r="B1254" s="1" t="s">
        <v>1251</v>
      </c>
      <c r="C1254" t="str">
        <f>IFERROR(__xludf.DUMMYFUNCTION("GOOGLETRANSLATE(B1254, ""fr"", ""en"")"),"Middle product well but the only negative point is Suils do not take well to be taken into the otherwise they fall")</f>
        <v>Middle product well but the only negative point is Suils do not take well to be taken into the otherwise they fall</v>
      </c>
    </row>
    <row r="1255">
      <c r="A1255" s="1">
        <v>4.0</v>
      </c>
      <c r="B1255" s="1" t="s">
        <v>1252</v>
      </c>
      <c r="C1255" t="str">
        <f>IFERROR(__xludf.DUMMYFUNCTION("GOOGLETRANSLATE(B1255, ""fr"", ""en"")"),"To practice a bargain, this massager helps to massage the neck and upper back (where I'm most needed, but it is also possible to massage the lower back or legs. The massage is really strong, but I appreciate.")</f>
        <v>To practice a bargain, this massager helps to massage the neck and upper back (where I'm most needed, but it is also possible to massage the lower back or legs. The massage is really strong, but I appreciate.</v>
      </c>
    </row>
    <row r="1256">
      <c r="A1256" s="1">
        <v>4.0</v>
      </c>
      <c r="B1256" s="1" t="s">
        <v>1253</v>
      </c>
      <c r="C1256" t="str">
        <f>IFERROR(__xludf.DUMMYFUNCTION("GOOGLETRANSLATE(B1256, ""fr"", ""en"")"),"all jewelry very pretty, very nice to wear. it makes its effect")</f>
        <v>all jewelry very pretty, very nice to wear. it makes its effect</v>
      </c>
    </row>
    <row r="1257">
      <c r="A1257" s="1">
        <v>5.0</v>
      </c>
      <c r="B1257" s="1" t="s">
        <v>1254</v>
      </c>
      <c r="C1257" t="str">
        <f>IFERROR(__xludf.DUMMYFUNCTION("GOOGLETRANSLATE(B1257, ""fr"", ""en"")"),"Size a bit small I walk all day for my work and I am in the dedant comfortable.")</f>
        <v>Size a bit small I walk all day for my work and I am in the dedant comfortable.</v>
      </c>
    </row>
    <row r="1258">
      <c r="A1258" s="1">
        <v>5.0</v>
      </c>
      <c r="B1258" s="1" t="s">
        <v>1255</v>
      </c>
      <c r="C1258" t="str">
        <f>IFERROR(__xludf.DUMMYFUNCTION("GOOGLETRANSLATE(B1258, ""fr"", ""en"")"),"Very good massage It is this massage because it is set 2 in 1, to a cushion and be a shoulder massage, easily useful, used by me for everything, explains: back message; arms ; legs; neck etc ..., it's really well used when we tired, but I bought to prepar"&amp;"e a Christmas gift is great for gift, I recommend.")</f>
        <v>Very good massage It is this massage because it is set 2 in 1, to a cushion and be a shoulder massage, easily useful, used by me for everything, explains: back message; arms ; legs; neck etc ..., it's really well used when we tired, but I bought to prepare a Christmas gift is great for gift, I recommend.</v>
      </c>
    </row>
    <row r="1259">
      <c r="A1259" s="1">
        <v>5.0</v>
      </c>
      <c r="B1259" s="1" t="s">
        <v>1256</v>
      </c>
      <c r="C1259" t="str">
        <f>IFERROR(__xludf.DUMMYFUNCTION("GOOGLETRANSLATE(B1259, ""fr"", ""en"")"),"Nothing to say Perfect")</f>
        <v>Nothing to say Perfect</v>
      </c>
    </row>
    <row r="1260">
      <c r="A1260" s="1">
        <v>5.0</v>
      </c>
      <c r="B1260" s="1" t="s">
        <v>1257</v>
      </c>
      <c r="C1260" t="str">
        <f>IFERROR(__xludf.DUMMYFUNCTION("GOOGLETRANSLATE(B1260, ""fr"", ""en"")"),"Fan A little noisy")</f>
        <v>Fan A little noisy</v>
      </c>
    </row>
    <row r="1261">
      <c r="A1261" s="1">
        <v>5.0</v>
      </c>
      <c r="B1261" s="1" t="s">
        <v>1258</v>
      </c>
      <c r="C1261" t="str">
        <f>IFERROR(__xludf.DUMMYFUNCTION("GOOGLETRANSLATE(B1261, ""fr"", ""en"")"),"Professional use Although recommended for home use, I bought it for professional use (labeling of electrical boards) given its small size and ease of use (I'm not an expert in technology and quickly lose patience). I am quite satisfied with the results ac"&amp;"hieved, works with 6 batteries or 9V adapter-18W, compact and attractive design, I highly recommend. quick and neat Shipment received well before the announced date, the product in its original sealed packaging, the price is low and the notorious professi"&amp;"onal seller to be commended.")</f>
        <v>Professional use Although recommended for home use, I bought it for professional use (labeling of electrical boards) given its small size and ease of use (I'm not an expert in technology and quickly lose patience). I am quite satisfied with the results achieved, works with 6 batteries or 9V adapter-18W, compact and attractive design, I highly recommend. quick and neat Shipment received well before the announced date, the product in its original sealed packaging, the price is low and the notorious professional seller to be commended.</v>
      </c>
    </row>
    <row r="1262">
      <c r="A1262" s="1">
        <v>5.0</v>
      </c>
      <c r="B1262" s="1" t="s">
        <v>1259</v>
      </c>
      <c r="C1262" t="str">
        <f>IFERROR(__xludf.DUMMYFUNCTION("GOOGLETRANSLATE(B1262, ""fr"", ""en"")"),"Consistent with the description My son loved this collection, books are a bit small but I knew before ordering the article.")</f>
        <v>Consistent with the description My son loved this collection, books are a bit small but I knew before ordering the article.</v>
      </c>
    </row>
    <row r="1263">
      <c r="A1263" s="1">
        <v>5.0</v>
      </c>
      <c r="B1263" s="1" t="s">
        <v>1260</v>
      </c>
      <c r="C1263" t="str">
        <f>IFERROR(__xludf.DUMMYFUNCTION("GOOGLETRANSLATE(B1263, ""fr"", ""en"")"),"I recommend Very good")</f>
        <v>I recommend Very good</v>
      </c>
    </row>
    <row r="1264">
      <c r="A1264" s="1">
        <v>5.0</v>
      </c>
      <c r="B1264" s="1" t="s">
        <v>1261</v>
      </c>
      <c r="C1264" t="str">
        <f>IFERROR(__xludf.DUMMYFUNCTION("GOOGLETRANSLATE(B1264, ""fr"", ""en"")"),"good good")</f>
        <v>good good</v>
      </c>
    </row>
    <row r="1265">
      <c r="A1265" s="1">
        <v>5.0</v>
      </c>
      <c r="B1265" s="1" t="s">
        <v>1262</v>
      </c>
      <c r="C1265" t="str">
        <f>IFERROR(__xludf.DUMMYFUNCTION("GOOGLETRANSLATE(B1265, ""fr"", ""en"")"),"Meets Delivery and Compliance ok product")</f>
        <v>Meets Delivery and Compliance ok product</v>
      </c>
    </row>
    <row r="1266">
      <c r="A1266" s="1">
        <v>5.0</v>
      </c>
      <c r="B1266" s="1" t="s">
        <v>1263</v>
      </c>
      <c r="C1266" t="str">
        <f>IFERROR(__xludf.DUMMYFUNCTION("GOOGLETRANSLATE(B1266, ""fr"", ""en"")"),"Very useful Very small and easy to carry, the sound is very clear and the charge is quick")</f>
        <v>Very useful Very small and easy to carry, the sound is very clear and the charge is quick</v>
      </c>
    </row>
    <row r="1267">
      <c r="A1267" s="1">
        <v>5.0</v>
      </c>
      <c r="B1267" s="1" t="s">
        <v>1264</v>
      </c>
      <c r="C1267" t="str">
        <f>IFERROR(__xludf.DUMMYFUNCTION("GOOGLETRANSLATE(B1267, ""fr"", ""en"")"),"practices Estetique")</f>
        <v>practices Estetique</v>
      </c>
    </row>
    <row r="1268">
      <c r="A1268" s="1">
        <v>5.0</v>
      </c>
      <c r="B1268" s="1" t="s">
        <v>1265</v>
      </c>
      <c r="C1268" t="str">
        <f>IFERROR(__xludf.DUMMYFUNCTION("GOOGLETRANSLATE(B1268, ""fr"", ""en"")"),"pleasantly surprised &lt;div id = ""video-block-R2FXO5T4RWX4T6"" class = ""a-section-spacing-small in-spacing-top mini video-block""&gt; &lt;div tabindex = ""0"" class = ""airy airy-svg vmin-supported airy-skin-beacon ""style ="" background-color: rgb (0, 0, 0); p"&amp;"osition: relative; width: 100%; height: 100%; font-size: 0px; overflow: hidden; outline : none; ""&gt; &lt;div class ="" airy-renderer-container ""style ="" position: relative; height: 100%; width: 100%; ""&gt; &lt;video id ="" 7 ""preload ="" auto ""src ="" https://"&amp;"images-eu.ssl-images-amazon.com/images/I/91ALpclgcOS.mp4 ""style ="" position: absolute; left: 0px; top: 0px; overflow: hidden; height: 1px; width: 1px ; ""&gt; &lt;/ video&gt; &lt;/ div&gt; &lt;div id ="" airy-slate-preload ""style ="" background-color: rgb (0, 0, 0); bac"&amp;"kground-image: url (&amp; quot; https: // images-eu.ssl-images-amazon.com/images/I/81Pb0-5HuxS.png&amp;quot;); background-size: contain; background-position: center center; background-repeat: no-repeat; position: absolute; top : 0px; left: 0px; visibility: visibl"&amp;"e; width: 100%; height: 100% ""&gt; &lt;/ div&gt; &lt;iframe scroll Eng = ""no"" frameborder = ""0"" src = ""about: blank"" style = ""display: none;""&gt; &lt;/ iframe&gt; &lt;div tabindex = ""- 1"" class = ""airy-controls-container"" style = "" opacity: 0; visibility: hidden; "&amp;"""&gt; &lt;div tabindex ="" - 1 ""class ="" airy-screen-size-toggle airy-fullscreen ""&gt; &lt;/ div&gt; &lt;div tabindex ="" - 1 ""class ="" airy-container-bottom "" &gt; &lt;div tabindex = ""- 1"" class = ""airy-track-bar spacer-left"" style = ""width: 11px;""&gt; &lt;/ div&gt; &lt;div ta"&amp;"bindex = ""- 1"" class = ""airy-play- toggle airy-play ""style ="" width: 12px; margin-right: 12px; ""&gt; &lt;/ div&gt; &lt;div tabindex ="" - 1 ""class ="" airy-audio-elements ""style ="" float: right; width: 34px; ""&gt; &lt;div tabindex ="" - 1 ""class ="" airy-audio-t"&amp;"oggle airy-on ""&gt; &lt;/ div&gt; &lt;div tabindex ="" - 1 ""class ="" airy-audio-container ""style = ""opacity: 0; visibility: hidden; ""&gt; &lt;div tabindex ="" - 1 ""class ="" airy-audio-track-bar ""style ="" height: 80%; ""&gt; &lt;div tabindex ="" - 1 ""class ="" airy-aud"&amp;"io- scrubber bar ""style ="" height: 85% ""&gt; &lt;/ div&gt; &lt;div tabindex ="" - 1 ""class ="" airy-audio-scrubber ""style ="" height: 12px; bottom: 85% ""&gt; &lt;/ div&gt; &lt;/ div&gt; &lt;/ div&gt; &lt;/ div&gt; &lt;div tabindex ="" - 1 ""class ="" airy-duration-label ""style ="" float: r"&amp;"ight; width: 26px; margin-right: 4px; text-align: center; ""&gt; 0:00 &lt;/ div&gt; &lt;div tabindex ="" - 1 ""class ="" airy-track-bar spacer-right ""style ="" float: right; width: 11px; ""&gt; &lt;/ div&gt; &lt;div tabindex ="" - 1 ""class ="" airy-track-bar-container ""style "&amp;"="" margin-left: 35px; margin-right: 75px; ""&gt; &lt;div tabindex ="" - 1 ""class ="" airy-airy-track-bar vertical-centering-table ""&gt; &lt;div tabindex ="" - 1 ""class ="" airy-vertical-centering- table-cell ""&gt; &lt;div tabindex ="" - 1 ""class ="" airy-track-bar el"&amp;"ements ""&gt; &lt;div tabindex ="" - 1 ""class ="" airy-progress bar ""&gt; &lt;/ div&gt; &lt;div tabindex = ""- 1"" class = ""airy-scrubber bar""&gt; &lt;/ div&gt; &lt;div tabindex = ""- 1"" class = ""airy-scrubber""&gt; &lt;div tabindex = ""- 1"" class = ""airy-scrubber- icon ""&gt; &lt;/ div&gt; "&amp;"&lt;div tabindex ="" - 1 ""class ="" airy-adjusted-aui-tooltip ""style ="" opacity: 0; visibility: hidden; ""&gt; &lt;div tabindex ="" - 1 ""class ="" airy-adjusted-aui-tooltip-inner ""&gt; &lt;div tabindex ="" - 1 ""class ="" airy-current-time-label ""&gt; 0 00 &lt;/ div&gt; &lt;/"&amp;" div&gt; &lt;div tabindex = ""- 1"" class = ""airy-adjusted-aui-arrow-border""&gt; &lt;div tabindex = ""- 1"" class = ""airy-adjusted-aui-arrow"" &gt; &lt;/ div&gt; &lt;/ div&gt; &lt;/ div&gt; &lt;/ div&gt; &lt;/ div&gt; &lt;/ div&gt; &lt;/ div&gt; &lt;/ div&gt; &lt;/ div&gt; &lt;/ div&gt; &lt;div tabindex = ""- 1"" class = ""airy-"&amp;"airy-age-gate course airy-vertical-centering table-airy-dialog"" style = ""opacity: 0; visibility: hidden; ""&gt; &lt;div tabindex ="" - 1 ""class ="" airy-age-gate-vertical-centering-table-cell airy-vertical-centering-table-cell ""&gt; &lt;div tabindex ="" - 1 ""cla"&amp;"ss = ""airy-vertical-centering-wrapper airy-age-gate-elements-wrapper""&gt; &lt;div tabindex = ""- 1"" class = ""airy-age-gate-elements airy-dialog-elements""&gt; &lt;div tabindex = "" -1 ""class ="" airy-age-gate-prompt ""&gt; This video is not Intended for all audienc"&amp;"es What time were you born &lt;/ div&gt; &lt;div tabindex =.?"" - 1 ""class ="" airy-age-gate -inputs airy-dialog-inner-elements ""&gt; &lt;select tabindex ="" - 1 ""class ="" airy-age-gate-month ""&gt; &lt;option value ="" 1 ""&gt; January &lt;/ option&gt; &lt;option value ="" 2 ""&gt; Feb"&amp;"ruary &lt;/ option&gt; &lt;option value ="" 3 ""&gt; March &lt;/ option&gt; &lt;option value ="" 4 ""&gt; April &lt;/ option&gt; &lt;option value ="" 5 ""&gt; May &lt;/ option&gt; &lt;option value = ""6""&gt; June &lt;/ option&gt; &lt;option value = ""7""&gt; July &lt;/ option&gt; &lt;option value = ""8""&gt; August &lt;/ option"&amp;"&gt; &lt;option value = ""9""&gt; September &lt;/ option&gt; &lt;option value = ""10""&gt; October &lt;/ option&gt; &lt;option value = ""11""&gt; November &lt;/ option&gt; &lt;option value = ""12""&gt; December &lt;/ option&gt; &lt;/ select&gt; &lt;select tabindex = ""- 1"" class = ""airy-age-gate-day""&gt; &lt;opti = O"&amp;"ne value ""1""&gt; 1 &lt;/ option&gt; &lt;option value = ""2""&gt; 2 &lt;/ option&gt; &lt;option value = ""3""&gt; 3 &lt;/ option&gt; &lt;option value = ""4""&gt; 4 &lt;/ option &gt; &lt;option value = ""5""&gt; 5 &lt;/ option&gt; &lt;option value = ""6""&gt; 6 &lt;/ option&gt; &lt;option value = ""7""&gt; 7 &lt;/ option&gt; &lt;option v"&amp;"alue = ""8""&gt; 8 &lt; / option&gt; &lt;option value = ""9""&gt; 9 &lt;/ option&gt; &lt;option value = ""10""&gt; 10 &lt;/ option&gt; &lt;option value = ""11""&gt; 11 &lt;/ option&gt; &lt;option value = ""12""&gt; 12 &lt;/ option&gt; &lt;option value = ""13""&gt; 13 &lt;/ option&gt; &lt;option value = ""14""&gt; 14 &lt;/ option&gt; &lt;"&amp;"option value = ""15""&gt; 15 &lt;/ option&gt; &lt;option value = ""16 ""&gt; 16 &lt;/ option&gt; &lt;option value ="" 17 ""&gt; 17 &lt;/ option&gt; &lt;option value ="" 18 ""&gt; 18 &lt;/ option&gt; &lt;option value ="" 19 ""&gt; 19 &lt;/ option&gt; &lt;option value = ""20""&gt; 20 &lt;/ option&gt; &lt;option value = ""21""&gt; "&amp;"21 &lt;/ option&gt; &lt;option value = ""22""&gt; 22 &lt;/ option&gt; &lt;option value = ""23""&gt; 23 &lt;/ option&gt; &lt;option value = ""24""&gt; 24 &lt;/ option&gt; &lt;option value = ""25""&gt; 25 &lt;/ option&gt; &lt;option value = ""26""&gt; 26 &lt;/ option&gt; &lt;option value = ""27""&gt; 27 &lt;/ option&gt; &lt;option value"&amp;" = ""28""&gt; 28 &lt;/ option&gt; &lt;option value = ""29""&gt; 29 &lt;/ option&gt; &lt;option value = ""30""&gt; 30 &lt;/ option&gt; &lt;option value = ""31""&gt; 31 &lt;/ option&gt; &lt;/ select&gt; &lt;select tabindex = ""- 1"" class = ""airy-age-gate-year""&gt; &lt;option value = ""2019""&gt; 2019 &lt;/ option&gt; &lt; op"&amp;"tion value = ""2018""&gt; 2018 &lt;/ option&gt; &lt;option value = ""2017""&gt; 2017 &lt;/ option&gt; &lt;option value = ""2016""&gt; ​​2016 &lt;/ option&gt; &lt;option value = ""2015""&gt; 2015 &lt;/ option &gt; &lt;option value = ""2014""&gt; 2014 &lt;/ option&gt; &lt;option value = ""2013""&gt; 2013 &lt;/ option&gt; &lt;op"&amp;"tion value = ""2012""&gt; 2012 &lt;/ option&gt; &lt;option value = ""2011""&gt; 2011 &lt; / option&gt; &lt;option value = ""2010""&gt; 2010 &lt;/ option&gt; &lt;option value = ""2009""&gt; 2009 &lt;/ option&gt; &lt;option value = ""2008""&gt; 2008 &lt;/ option&gt; &lt;option value = ""2007""&gt; 2007 &lt;/ option&gt; &lt;opti"&amp;"on value = ""2006""&gt; 2006 &lt;/ option&gt; &lt;option value = ""2005""&gt; 2005 &lt;/ option&gt; &lt;option value = ""2004""&gt; 2004 &lt;/ option&gt; &lt;option value = ""2003 ""&gt; 2003 &lt;/ option&gt; &lt;option value ="" 2002 ""&gt; 2002 &lt;/ option&gt; &lt;option value ="" 2001 ""&gt; 2001 &lt;/ option&gt; &lt;opti"&amp;"on value ="" 2000 ""&gt; 2000 &lt;/ option&gt; &lt;option value = ""1999""&gt; 1999 &lt;/ option&gt; &lt;option value = ""1998""&gt; 1998 &lt;/ option&gt; &lt;option value = ""1997""&gt; 1997 &lt;/ option&gt; &lt;option value = ""1996""&gt; 1996 &lt;/ option&gt; &lt;option value = ""1995""&gt; 1995 &lt;/ option&gt; &lt;option"&amp;" value = ""1994""&gt; 1994 &lt;/ option&gt; &lt;option value = ""1993""&gt; 1993 &lt;/ option&gt; &lt;option value = ""1992""&gt; 1992 &lt;/ option&gt; &lt;option value = ""1991""&gt; 1991 &lt;/ option&gt; &lt;option value = ""1990""&gt; 1990 &lt;/ option&gt; &lt;option value = "" 1989 ""&gt; 1989 &lt;/ option&gt; &lt;option "&amp;"value ="" 1988 ""&gt; 1988 &lt;/ option&gt; &lt;option value ="" 1987 ""&gt; 1987 &lt;/ option&gt; &lt;option value ="" 1986 ""&gt; 1986 &lt;/ option&gt; &lt;option value = ""1985""&gt; 1985 &lt;/ option&gt; &lt;option value = ""1984""&gt; 1984 &lt;/ option&gt; &lt;option value = ""1983""&gt; 1983 &lt;/ option&gt; &lt;option "&amp;"value = ""1982""&gt; 1982 &lt;/ option&gt; &lt; option value = ""1981""&gt; 1981 &lt;/ option&gt; &lt;option value = ""1980""&gt; 1980 &lt;/ option&gt; &lt;option value = ""1979""&gt; 1979 &lt;/ option&gt; &lt;option value = ""1978""&gt; 1978 &lt;/ option &gt; &lt;option value = ""1977""&gt; 1977 &lt;/ option&gt; &lt;option v"&amp;"alue = ""1976""&gt; 1976 &lt;/ option&gt; &lt;option value = ""1975""&gt; 1975 &lt;/ option&gt; &lt;option value = ""1974""&gt; 1974 &lt; / option&gt; &lt;option value = ""1973""&gt; 1973 &lt;/ option&gt; &lt;option value = ""1972""&gt; 1972 &lt;/ option&gt; &lt;option value = ""1971""&gt; 1971 &lt;/ option&gt; &lt;option val"&amp;"ue = ""1970""&gt; 1970 &lt;/ option&gt; &lt;option value = ""1969""&gt; 1969 &lt;/ option&gt; &lt;option value = ""1968""&gt; 1968 &lt;/ option&gt; &lt;option value = ""1967""&gt; 1967 &lt;/ option&gt; &lt;option value = ""1966 ""&gt; 1966 &lt;/ option&gt; &lt;option value ="" 1965 ""&gt; 1965 &lt;/ option&gt; &lt;option valu"&amp;"e ="" 1964 ""&gt; 1964 &lt;/ option&gt; &lt;option value ="" 1963 ""&gt; 1963 &lt;/ option&gt; &lt;option value = ""1962""&gt; 1962 &lt;/ option&gt; &lt;option value = ""1961""&gt; 1961 &lt;/ option&gt; &lt;option value = ""1960""&gt; 1960 &lt;/ op tion&gt; &lt;option value = ""1959""&gt; 1959 &lt;/ option&gt; &lt;option valu"&amp;"e = ""1958""&gt; 1958 &lt;/ option&gt; &lt;option value = ""1957""&gt; 1957 &lt;/ option&gt; &lt;option value = ""1956""&gt; 1956 &lt;/ option&gt; &lt;option value = ""1955""&gt; 1955 &lt;/ option&gt; &lt;option value = ""1954""&gt; 1954 &lt;/ option&gt; &lt;option value = ""1953""&gt; 1953 &lt;/ option&gt; &lt;option value ="&amp;" ""1952"" &gt; 1952 &lt;/ option&gt; &lt;option value = ""1951""&gt; 1951 &lt;/ option&gt; &lt;option value = ""1950""&gt; 1950 &lt;/ option&gt; &lt;option value = ""1949""&gt; 1949 &lt;/ option&gt; &lt;option value = "" 1948 ""&gt; 1948 &lt;/ option&gt; &lt;option value ="" 1947 ""&gt; 1947 &lt;/ option&gt; &lt;option value "&amp;"="" 1946 ""&gt; 1946 &lt;/ option&gt; &lt;option value ="" 1945 ""&gt; 1945 &lt;/ option&gt; &lt;option value = ""1944""&gt; 1944 &lt;/ option&gt; &lt;option value = ""1943""&gt; 1943 &lt;/ option&gt; &lt;option value = ""1942""&gt; 1942 &lt;/ option&gt; &lt;option value = ""1941""&gt; 1941 &lt;/ option&gt; &lt; option value "&amp;"= ""1940""&gt; 1940 &lt;/ option&gt; &lt;option value = ""1939""&gt; 1939 &lt;/ option&gt; &lt;option value = ""1938""&gt; 1938 &lt;/ option&gt; &lt;option value = ""1937""&gt; 1937 &lt;/ option &gt; &lt;option value = ""1936""&gt; 1936 &lt;/ option&gt; &lt;option value = ""1935""&gt; 1935 &lt;/ option&gt; &lt;option value = "&amp;"""1934""&gt; 1934 &lt;/ option&gt; &lt;option value = ""1933""&gt; 1933 &lt; / option&gt; &lt;option value = ""1932""&gt; 1932 &lt;/ option&gt; &lt;option value = ""1931""&gt; 1931 &lt;/ option&gt; &lt;option v alue = ""1930""&gt; 1930 &lt;/ option&gt; &lt;option value = ""1929""&gt; 1929 &lt;/ option&gt; &lt;option value = "&amp;"""1928""&gt; 1928 &lt;/ option&gt; &lt;option value = ""1927""&gt; 1927 &lt;/ option&gt; &lt;option value = ""1926""&gt; 1926 &lt;/ option&gt; &lt;option value = ""1925""&gt; 1925 &lt;/ option&gt; &lt;option value = ""1924""&gt; 1924 &lt;/ option&gt; &lt;option value = ""1923""&gt; 1923 &lt;/ option&gt; &lt;option value = ""1"&amp;"922""&gt; 1922 &lt;/ option&gt; &lt;option value = ""1921""&gt; 1921 &lt;/ option&gt; &lt;option value = ""1920""&gt; 1920 &lt;/ option&gt; &lt;option value = ""1919""&gt; 1919 &lt;/ option&gt; &lt;option value = ""1918""&gt; 1918 &lt;/ option&gt; &lt;option value = ""1917""&gt; 1917 &lt;/ option&gt; &lt;option value = ""1916"&amp;"""&gt; 1916 &lt;/ option&gt; &lt;option value = ""1915"" &gt; 1915 &lt;/ option&gt; &lt;option value = ""1914""&gt; 1914 &lt;/ option&gt; &lt;option value = ""1913""&gt; 1913 &lt;/ option&gt; &lt;option value = ""1912""&gt; 1912 &lt;/ option&gt; &lt;option value = "" 1911 ""&gt; 1911 &lt;/ option&gt; &lt;option value ="" 1910"&amp;" ""&gt; 1910 &lt;/ option&gt; &lt;option value ="" 1909 ""&gt; 1909 &lt;/ option&gt; &lt;option value ="" 1908 ""&gt; 1908 &lt;/ option&gt; &lt;option value = ""1907""&gt; 1907 &lt;/ option&gt; &lt;option value = ""1906""&gt; 1906 &lt;/ option&gt; &lt;option value = ""1905""&gt; 1905 &lt;/ option&gt; &lt;option value = ""1904"&amp;"""&gt; 1904 &lt;/ option&gt; &lt; option value = ""1903""&gt; 1903 &lt;/ option&gt; &lt;option value = ""1902""&gt; 1902 &lt;/ option&gt; &lt;option value = ""1901""&gt; 19 01 &lt;/ option&gt; &lt;option value = ""1900""&gt; 1900 &lt;/ option&gt; &lt;/ select&gt; &lt;div tabindex = ""- 1"" class = ""airy-age-gate-submit"&amp;" airy-submit-button airy airy-submit- disabled ""&gt; Submit &lt;/ div&gt; &lt;/ div&gt; &lt;/ div&gt; &lt;/ div&gt; &lt;/ div&gt; &lt;/ div&gt; &lt;div tabindex ="" - 1 ""class ="" airy-install-flash-dialog airy-course airy -Vertical-centering-table dialog airy-airy-denied ""style ="" opacity: 0"&amp;"; visibility: hidden; ""&gt; &lt;div tabindex ="" - 1 ""class ="" airy-install-flash-vertical-centering-table-cell airy-vertical-centering-table-cell ""&gt; &lt;div tabindex ="" - 1 ""class = ""airy-vertical-centering-wrapper airy-install-flash-elements-wrapper""&gt; &lt;d"&amp;"iv tabindex = ""- 1"" class = ""airy-install-flash-elements airy-dialog-elements""&gt; &lt;div tabindex = "" -1 ""class ="" airy-install-flash-prompt ""&gt; Adobe Flash Player is required to watch this video &lt;/ div&gt; &lt;div = tabindex."" - 1 ""class ="" airy-install-"&amp;"flash-button-wrapper airy -dialog-inner-elements ""&gt; &lt;div tabindex ="" - 1 ""class ="" airy-install-flash-button airy-button ""&gt; install Flash Player &lt;/ div&gt; &lt;/ div&gt; &lt;/ div&gt; &lt;/ div&gt; &lt;/ div&gt; &lt;/ div&gt; &lt;div tabindex = ""- 1"" class = ""airy-video-unsupported-"&amp;"dialog airy-course airy-vertical-centering table-airy-dialog airy-denied"" style = ""opacity: 0; visibility: hidden; ""&gt; &lt;div tabindex ="" - 1 ""class ="" airy-video-unsupported-vertical-centering-table-cell airy-vertical-centering-table-cell ""&gt; &lt;div tab"&amp;"index ="" - 1 ""class = ""airy-vertical-centering-wrapper airy-video-unsupported-elements-wrapper""&gt; &lt;div tabindex = ""- 1"" class = ""airy-video-unsupported-elements airy-dialog-elements""&gt; &lt;div tabindex = "" -1 ""class ="" airy-video-unsupported-prompt "&amp;"""&gt; &lt;/ div&gt; &lt;/ div&gt; &lt;/ div&gt; &lt;/ div&gt; &lt;/ div&gt; &lt;div tabindex ="" - 1 ""class ="" airy-loading- spinner-stage airy-stage ""&gt; &lt;div tabindex ="" - 1 ""class ="" airy-loading-spinner-vertical-centering-table-cell airy-vertical-centering-table-cell ""&gt; &lt;div tabin"&amp;"dex ="" - 1 ""class ="" airy-loading-spinner container airy-scalable-hint-container ""&gt; &lt;div tabindex ="" - 1 ""class ="" airy-loading-spinner-dummy airy-scalable-dummy ""&gt; &lt;/ div&gt; &lt; div tabindex = ""- 1"" class = ""airy-loading-spinner airy-hint"" style "&amp;"= ""visibility: hidden;""&gt; &lt;/ div&gt; &lt;/ div&gt; &lt;/ div&gt; &lt;/ div&gt; &lt;div tabindex = ""- 1 ""class ="" airy-ads-screen-size-toggle airy-screen-size-toggle airy-fullscreen ""style ="" visibility: hidden; ""&gt; &lt;/ div&gt; &lt;div tabindex = ""-1"" class = ""airy-ad-prompt-co"&amp;"ntainer"" style = ""visibility: hidden;""&gt; &lt;div tabindex = ""- 1"" class = ""airy-ad-prompt-vertical-centering table-airy-vertical- centering-table ""&gt; &lt;div tabindex ="" - 1 ""class ="" airy-ad-prompt-vertical-centering-table-cell airy-vertical-centering-"&amp;"table-cell ""&gt; &lt;div tabindex ="" - 1 ""class = ""airy-ad-prompt-label""&gt; &lt;/ div&gt; &lt;/ div&gt; &lt;/ div&gt; &lt;/ div&gt; &lt;div tabindex = ""- 1"" class = ""airy-ads-controls-container"" style = ""visibility: hidden; ""&gt; &lt;div tabindex ="" - 1 ""class ="" airy-ads-audio-tog"&amp;"gle airy-audio-toggle airy-on ""style ="" visibility: hidden; ""&gt; &lt;/ div&gt; &lt;div tabindex ="" - 1 ""class ="" airy-time-remaining-label-container ""&gt; &lt;div tabindex ="" - 1 ""class ="" airy-time-remaining-vertical-centering table-airy-vertical-centering-tabl"&amp;"e ""&gt; &lt;div tabindex = ""- 1"" class = ""airy-time-remaining-vertical-centering-table-cell airy-vertical-centering-table-cell""&gt; &lt;div tabindex = ""- 1"" class = ""airy-vertical-centering-wrapper airy-time-remaining-label-wrapper ""&gt; &lt;div tabindex ="" - 1 "&amp;"""class ="" airy-time-remaining-label ""style ="" visibility: hidden; ""&gt; &lt;/ div&gt; &lt;div tabi ndex = ""- 1"" class = ""airy-ad-skip"" style = ""visibility: hidden;""&gt; &lt;/ div&gt; &lt;div tabindex = ""- 1"" class = ""airy-ad-end"" style = ""visibility: hidden; ""&gt; "&amp;"&lt;/ div&gt; &lt;/ div&gt; &lt;/ div&gt; &lt;/ div&gt; &lt;/ div&gt; &lt;div tabindex ="" - 1 ""class ="" airy-learn-more ""style ="" visibility: hidden; ""&gt; &lt;/ div&gt; &lt;/ div&gt; &lt;div tabindex = ""- 1"" class = ""airy-play-toggle-hint-stage airy-course airy-cursor""&gt; &lt;div tabindex = ""- 1"" "&amp;"class = ""airy-play -toggle-hint-vertical-centering-table-cell airy-vertical-centering-table-cell airy-cursor ""&gt; &lt;div tabindex ="" - 1 ""class ="" airy-play-toggle-hint-container airy-scalable- hint-container ""&gt; &lt;div tabindex ="" - 1 ""class ="" airy-pl"&amp;"ay-toggle-hint-dummy airy-scalable-dummy ""&gt; &lt;/ div&gt; &lt;div tabindex ="" - 1 ""class ="" airy-play -toggle airy-hint-hint-hint airy-play ""style ="" opacity: 1; visibility: visible; ""&gt; &lt;/ div&gt; &lt;/ div&gt; &lt;/ div&gt; &lt;/ div&gt; &lt;div tabindex ="" - 1 ""class ="" airy-"&amp;"replay-hint-stage airy-stage ""style ="" visibility: hidden ; ""&gt; &lt;div tabindex ="" - 1 ""class ="" airy-replay-hint-vertical-centering-table-cell airy-vertical-centering-table-cell airy-cursor ""&gt; &lt;div tabindex ="" - 1 ""class = ""airy-replay-hint-contai"&amp;"ner airy-scalable-hint-container""&gt; &lt;div tabindex = ""- 1"" class = ""airy-replay-hint-dummy airy-scalable-dummy""&gt; &lt;/ div&gt; &lt;div tabindex = ""- 1"" class = ""airy-replay-hint airy-hint""&gt; &lt;/ div&gt; &lt;/ div&gt; &lt;/ div&gt; &lt;/ div&gt; &lt;div tabindex = ""- 1"" class = ""a"&amp;"iry-autoplay-hint -stage airy-stage ""style ="" visibility: hidden; ""&gt; &lt;div tabindex ="" - 1 ""class ="" airy-autoplay-hint-vertical-centering-table-cell airy-vertical-centering-table-cell airy- cursor ""&gt; &lt;div tabindex ="" - 1 ""class ="" autoplay airy-"&amp;"airy-hint-container-scalable-hint-container ""&gt; &lt;div tabindex ="" - 1 ""class ="" airy-autoplay-hint-dummy airy- scalable-dummy ""&gt; &lt;/ div&gt; &lt;/ div&gt; &lt;/ div&gt; &lt;/ div&gt; &lt;/ div&gt; &lt;/ div&gt; &lt;input type ="" hidden ""name ="" ""value ="" https: // pictures-eu .ssl-im"&amp;"age amazon.com / images / I / 91ALpclgcOS.mp4 ""Class ="" video-url ""&gt; &lt;input type ="" hidden ""name ="" ""value ="" https://images-eu.ssl-images-amazon.com/images/I/81Pb0-5HuxS.png ""class = ""video-slate-img-url""&gt; &amp; nbsp; product meets the description"&amp;", I am impress for the price, tun great gift to offer !!!! a embalage worthy of a gem, very well packaged. the Motre and be pretty, pretty big but easy to use. she stopwatch, date time and alarm, retroeclerage is sharp. the buttons are easy to use, the br"&amp;"acelet is abs rather comfortable there is a small object of apret this glue derierre the Sony Vaio, to provide support to see video on such c is provided in, but I m not to serve. when the strap provided in addition to the watch c is very nice and pretty,"&amp;" it's been much better than offering the watch! asse record is clear but it is in English")</f>
        <v>pleasantly surprised &lt;div id = "video-block-R2FXO5T4RWX4T6" class = "a-section-spacing-small in-spacing-top mini video-block"&gt; &lt;div tabindex = "0" class = "airy airy-svg vmin-supported airy-skin-beacon "style =" background-color: rgb (0, 0, 0); position: relative; width: 100%; height: 100%; font-size: 0px; overflow: hidden; outline : none; "&gt; &lt;div class =" airy-renderer-container "style =" position: relative; height: 100%; width: 100%; "&gt; &lt;video id =" 7 "preload =" auto "src =" https://images-eu.ssl-images-amazon.com/images/I/91ALpclgcOS.mp4 "style =" position: absolute; left: 0px; top: 0px; overflow: hidden; height: 1px; width: 1px ; "&gt; &lt;/ video&gt; &lt;/ div&gt; &lt;div id =" airy-slate-preload "style =" background-color: rgb (0, 0, 0); background-image: url (&amp; quot; https: // images-eu.ssl-images-amazon.com/images/I/81Pb0-5HuxS.png&amp;quot;); background-size: contain; background-position: center center; background-repeat: no-repeat; position: absolute; top : 0px; left: 0px; visibility: visible; width: 100%; height: 100% "&gt; &lt;/ div&gt; &lt;iframe scroll Eng = "no" frameborder = "0" src = "about: blank" style = "display: none;"&gt; &lt;/ iframe&gt; &lt;div tabindex = "- 1" class = "airy-controls-container" style = " opacity: 0; visibility: hidden; "&gt; &lt;div tabindex =" - 1 "class =" airy-screen-size-toggle airy-fullscreen "&gt; &lt;/ div&gt; &lt;div tabindex =" - 1 "class =" airy-container-bottom " &gt; &lt;div tabindex = "- 1" class = "airy-track-bar spacer-left" style = "width: 11px;"&gt; &lt;/ div&gt; &lt;div tabindex = "- 1" class = "airy-play- toggle airy-play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 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 spacer-right "style =" float: right; width: 11px; "&gt; &lt;/ div&gt; &lt;div tabindex =" - 1 "class =" airy-track-bar-container "style =" margin-left: 35px; margin-right: 75px; "&gt; &lt;div tabindex =" - 1 "class =" airy-airy-track-bar vertical-centering-table "&gt; &lt;div tabindex =" - 1 "class =" airy-vertical-centering- table-cell "&gt; &lt;div tabindex =" - 1 "class =" airy-track-bar elements "&gt; &lt;div tabindex =" - 1 "class =" airy-progress bar "&gt; &lt;/ div&gt; &lt;div tabindex = "- 1" class = "airy-scrubber 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"airy-airy-age-gate course airy-vertical-centering table-airy-dialog"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time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 One value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&lt;option value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&lt;option value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&lt;option value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airy-course airy -Vertical-centering-table dialog airy-airy-denied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 tabindex." - 1 "class =" airy-install-flash-button-wrapper airy -dialog-inner-elements "&gt; &lt;div tabindex =" - 1 "class =" airy-install-flash-button airy-button "&gt; install Flash Player &lt;/ div&gt; &lt;/ div&gt; &lt;/ div&gt; &lt;/ div&gt; &lt;/ div&gt; &lt;/ div&gt; &lt;div tabindex = "- 1" class = "airy-video-unsupported-dialog airy-course airy-vertical-centering table-airy-dialog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 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 airy-fullscreen "style =" visibility: hidden; "&gt; &lt;/ div&gt; &lt;div tabindex = "-1" class = "airy-ad-prompt-container" style = "visibility: hidden;"&gt; &lt;div tabindex = "- 1" class = "airy-ad-prompt-vertical-centering table-airy-vertical-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 table-airy-vertical-centering-table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airy-course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 airy-hint-hint-hint airy-play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pictures-eu .ssl-image amazon.com / images / I / 91ALpclgcOS.mp4 "Class =" video-url "&gt; &lt;input type =" hidden "name =" "value =" https://images-eu.ssl-images-amazon.com/images/I/81Pb0-5HuxS.png "class = "video-slate-img-url"&gt; &amp; nbsp; product meets the description, I am impress for the price, tun great gift to offer !!!! a embalage worthy of a gem, very well packaged. the Motre and be pretty, pretty big but easy to use. she stopwatch, date time and alarm, retroeclerage is sharp. the buttons are easy to use, the bracelet is abs rather comfortable there is a small object of apret this glue derierre the Sony Vaio, to provide support to see video on such c is provided in, but I m not to serve. when the strap provided in addition to the watch c is very nice and pretty, it's been much better than offering the watch! asse record is clear but it is in English</v>
      </c>
    </row>
    <row r="1269">
      <c r="A1269" s="1">
        <v>5.0</v>
      </c>
      <c r="B1269" s="1" t="s">
        <v>1266</v>
      </c>
      <c r="C1269" t="str">
        <f>IFERROR(__xludf.DUMMYFUNCTION("GOOGLETRANSLATE(B1269, ""fr"", ""en"")"),"great product great product both on mud than snow. use for a heavy weight 95 kg for 1m93 and RAS")</f>
        <v>great product great product both on mud than snow. use for a heavy weight 95 kg for 1m93 and RAS</v>
      </c>
    </row>
    <row r="1270">
      <c r="A1270" s="1">
        <v>5.0</v>
      </c>
      <c r="B1270" s="1" t="s">
        <v>1267</v>
      </c>
      <c r="C1270" t="str">
        <f>IFERROR(__xludf.DUMMYFUNCTION("GOOGLETRANSLATE(B1270, ""fr"", ""en"")"),"In accordance with the description marcher..très pleasant and comfortable ..")</f>
        <v>In accordance with the description marcher..très pleasant and comfortable ..</v>
      </c>
    </row>
    <row r="1271">
      <c r="A1271" s="1">
        <v>5.0</v>
      </c>
      <c r="B1271" s="1" t="s">
        <v>1268</v>
      </c>
      <c r="C1271" t="str">
        <f>IFERROR(__xludf.DUMMYFUNCTION("GOOGLETRANSLATE(B1271, ""fr"", ""en"")"),"Jolie shows man fulfilled its function Good product filled its top lighting function")</f>
        <v>Jolie shows man fulfilled its function Good product filled its top lighting function</v>
      </c>
    </row>
    <row r="1272">
      <c r="A1272" s="1">
        <v>5.0</v>
      </c>
      <c r="B1272" s="1" t="s">
        <v>1269</v>
      </c>
      <c r="C1272" t="str">
        <f>IFERROR(__xludf.DUMMYFUNCTION("GOOGLETRANSLATE(B1272, ""fr"", ""en"")"),"super great gift too well they are beings super happy good certainly not their parents' great sound not too heavy now see at night for lights")</f>
        <v>super great gift too well they are beings super happy good certainly not their parents' great sound not too heavy now see at night for lights</v>
      </c>
    </row>
    <row r="1273">
      <c r="A1273" s="1">
        <v>2.0</v>
      </c>
      <c r="B1273" s="1" t="s">
        <v>1270</v>
      </c>
      <c r="C1273" t="str">
        <f>IFERROR(__xludf.DUMMYFUNCTION("GOOGLETRANSLATE(B1273, ""fr"", ""en"")"),"Do not take in time and the flow is too fast. Difficult to use in a small. Debit too fast for the Milk + cereals. This is suitable for soups or when my daughter is very préssée to finish his bottle, but this is not the best. There is a big difference ente"&amp;" the rapid flow teats with a single hole and the flow rate may vary cross. Also over time, the nipple is torn, enlarging the opening cross. So to change very regularly. I will continue to order as there is no intermediary but this is a shame.")</f>
        <v>Do not take in time and the flow is too fast. Difficult to use in a small. Debit too fast for the Milk + cereals. This is suitable for soups or when my daughter is very préssée to finish his bottle, but this is not the best. There is a big difference ente the rapid flow teats with a single hole and the flow rate may vary cross. Also over time, the nipple is torn, enlarging the opening cross. So to change very regularly. I will continue to order as there is no intermediary but this is a shame.</v>
      </c>
    </row>
    <row r="1274">
      <c r="A1274" s="1">
        <v>1.0</v>
      </c>
      <c r="B1274" s="1" t="s">
        <v>1271</v>
      </c>
      <c r="C1274" t="str">
        <f>IFERROR(__xludf.DUMMYFUNCTION("GOOGLETRANSLATE(B1274, ""fr"", ""en"")"),"No product in the box! Congratulations I get the package for Valentine's Day and I discovered the empty box! Pay me if I had been able to -10 star I would do")</f>
        <v>No product in the box! Congratulations I get the package for Valentine's Day and I discovered the empty box! Pay me if I had been able to -10 star I would do</v>
      </c>
    </row>
    <row r="1275">
      <c r="A1275" s="1">
        <v>1.0</v>
      </c>
      <c r="B1275" s="1" t="s">
        <v>1272</v>
      </c>
      <c r="C1275" t="str">
        <f>IFERROR(__xludf.DUMMYFUNCTION("GOOGLETRANSLATE(B1275, ""fr"", ""en"")"),"Sandals sandals sea, swimming pool: The soles were loosened in a few days, I had to pick, sandals poor quality.")</f>
        <v>Sandals sandals sea, swimming pool: The soles were loosened in a few days, I had to pick, sandals poor quality.</v>
      </c>
    </row>
    <row r="1276">
      <c r="A1276" s="1">
        <v>3.0</v>
      </c>
      <c r="B1276" s="1" t="s">
        <v>1273</v>
      </c>
      <c r="C1276" t="str">
        <f>IFERROR(__xludf.DUMMYFUNCTION("GOOGLETRANSLATE(B1276, ""fr"", ""en"")"),"Anti-colic bottles not top price for the few problems with these bottles: Gates on large bottles do not work so that the nipple sinks Then the amounts of entries (may be because we use thick milk?) on the bottles begin to fade after a week of use. The sha"&amp;"pe of the bottles that it remains in the milk at the end of the feeding. The only positive point for me, nipples that have a good shape for the baby by mouth in gear.")</f>
        <v>Anti-colic bottles not top price for the few problems with these bottles: Gates on large bottles do not work so that the nipple sinks Then the amounts of entries (may be because we use thick milk?) on the bottles begin to fade after a week of use. The shape of the bottles that it remains in the milk at the end of the feeding. The only positive point for me, nipples that have a good shape for the baby by mouth in gear.</v>
      </c>
    </row>
    <row r="1277">
      <c r="A1277" s="1">
        <v>3.0</v>
      </c>
      <c r="B1277" s="1" t="s">
        <v>1274</v>
      </c>
      <c r="C1277" t="str">
        <f>IFERROR(__xludf.DUMMYFUNCTION("GOOGLETRANSLATE(B1277, ""fr"", ""en"")"),"Good value small Shoe laces are hard to build on top of the sole is very comfortable Maintaining Perfect")</f>
        <v>Good value small Shoe laces are hard to build on top of the sole is very comfortable Maintaining Perfect</v>
      </c>
    </row>
    <row r="1278">
      <c r="A1278" s="1">
        <v>4.0</v>
      </c>
      <c r="B1278" s="1" t="s">
        <v>1275</v>
      </c>
      <c r="C1278" t="str">
        <f>IFERROR(__xludf.DUMMYFUNCTION("GOOGLETRANSLATE(B1278, ""fr"", ""en"")"),"stickers right products")</f>
        <v>stickers right products</v>
      </c>
    </row>
    <row r="1279">
      <c r="A1279" s="1">
        <v>4.0</v>
      </c>
      <c r="B1279" s="1" t="s">
        <v>1276</v>
      </c>
      <c r="C1279" t="str">
        <f>IFERROR(__xludf.DUMMYFUNCTION("GOOGLETRANSLATE(B1279, ""fr"", ""en"")"),"A watch that is the solid matter and functional for a reasonable price. I recommend this product for use in a sporting context where professional (military, security ...)")</f>
        <v>A watch that is the solid matter and functional for a reasonable price. I recommend this product for use in a sporting context where professional (military, security ...)</v>
      </c>
    </row>
    <row r="1280">
      <c r="A1280" s="1">
        <v>4.0</v>
      </c>
      <c r="B1280" s="1" t="s">
        <v>1277</v>
      </c>
      <c r="C1280" t="str">
        <f>IFERROR(__xludf.DUMMYFUNCTION("GOOGLETRANSLATE(B1280, ""fr"", ""en"")"),"Quality at the top, too plastic The kettle works very well, the temperature selection is very easy. This is a detail but it could have been simplified: temperature selection and on / off button, could be simplified by relying only on the temperature knob."&amp;" practice keeping warm function (not automatic, you have to press a third button). Last reproach, most disturbing for my taste: the presence of plastic at inside of the lid (not in contact with water but with the vapors), limestone filter carrier (may be "&amp;"in contact with the water if too full or when pouring hot water) and the indicator of the level of the water.")</f>
        <v>Quality at the top, too plastic The kettle works very well, the temperature selection is very easy. This is a detail but it could have been simplified: temperature selection and on / off button, could be simplified by relying only on the temperature knob. practice keeping warm function (not automatic, you have to press a third button). Last reproach, most disturbing for my taste: the presence of plastic at inside of the lid (not in contact with water but with the vapors), limestone filter carrier (may be in contact with the water if too full or when pouring hot water) and the indicator of the level of the water.</v>
      </c>
    </row>
    <row r="1281">
      <c r="A1281" s="1">
        <v>4.0</v>
      </c>
      <c r="B1281" s="1" t="s">
        <v>1278</v>
      </c>
      <c r="C1281" t="str">
        <f>IFERROR(__xludf.DUMMYFUNCTION("GOOGLETRANSLATE(B1281, ""fr"", ""en"")"),"Watch Watch Benyar quite simple. Comfortable enough but that does its little weight. read dial. significant reduction (37 € instead of 114 € during the writing of this review) that comes to doubt the quality. I do not know much about the area as I call mi"&amp;"strust. At first nothing to say but I'm off base on a watch at 37 €. If it was more expensive I would ask more questions. Good product.")</f>
        <v>Watch Watch Benyar quite simple. Comfortable enough but that does its little weight. read dial. significant reduction (37 € instead of 114 € during the writing of this review) that comes to doubt the quality. I do not know much about the area as I call mistrust. At first nothing to say but I'm off base on a watch at 37 €. If it was more expensive I would ask more questions. Good product.</v>
      </c>
    </row>
    <row r="1282">
      <c r="A1282" s="1">
        <v>5.0</v>
      </c>
      <c r="B1282" s="1" t="s">
        <v>1279</v>
      </c>
      <c r="C1282" t="str">
        <f>IFERROR(__xludf.DUMMYFUNCTION("GOOGLETRANSLATE(B1282, ""fr"", ""en"")"),"Very good gift for my mother-she is delighted and is used very often")</f>
        <v>Very good gift for my mother-she is delighted and is used very often</v>
      </c>
    </row>
    <row r="1283">
      <c r="A1283" s="1">
        <v>5.0</v>
      </c>
      <c r="B1283" s="1" t="s">
        <v>1280</v>
      </c>
      <c r="C1283" t="str">
        <f>IFERROR(__xludf.DUMMYFUNCTION("GOOGLETRANSLATE(B1283, ""fr"", ""en"")"),"Child's play to mount the new bracelet I liked the screwdriver comes with the bracelet")</f>
        <v>Child's play to mount the new bracelet I liked the screwdriver comes with the bracelet</v>
      </c>
    </row>
    <row r="1284">
      <c r="A1284" s="1">
        <v>5.0</v>
      </c>
      <c r="B1284" s="1" t="s">
        <v>1281</v>
      </c>
      <c r="C1284" t="str">
        <f>IFERROR(__xludf.DUMMYFUNCTION("GOOGLETRANSLATE(B1284, ""fr"", ""en"")"),"The book we use long offered a boy of 3 years, it will bring him the answers he will include more details in a few years.")</f>
        <v>The book we use long offered a boy of 3 years, it will bring him the answers he will include more details in a few years.</v>
      </c>
    </row>
    <row r="1285">
      <c r="A1285" s="1">
        <v>5.0</v>
      </c>
      <c r="B1285" s="1" t="s">
        <v>1282</v>
      </c>
      <c r="C1285" t="str">
        <f>IFERROR(__xludf.DUMMYFUNCTION("GOOGLETRANSLATE(B1285, ""fr"", ""en"")"),"Like a glove I do my jogging pants and with this yoga. We do not feel at all well stick to the skin without the feeling of being compressed. I recommend this product.")</f>
        <v>Like a glove I do my jogging pants and with this yoga. We do not feel at all well stick to the skin without the feeling of being compressed. I recommend this product.</v>
      </c>
    </row>
    <row r="1286">
      <c r="A1286" s="1">
        <v>5.0</v>
      </c>
      <c r="B1286" s="1" t="s">
        <v>1283</v>
      </c>
      <c r="C1286" t="str">
        <f>IFERROR(__xludf.DUMMYFUNCTION("GOOGLETRANSLATE(B1286, ""fr"", ""en"")"),"Although well done")</f>
        <v>Although well done</v>
      </c>
    </row>
    <row r="1287">
      <c r="A1287" s="1">
        <v>5.0</v>
      </c>
      <c r="B1287" s="1" t="s">
        <v>1284</v>
      </c>
      <c r="C1287" t="str">
        <f>IFERROR(__xludf.DUMMYFUNCTION("GOOGLETRANSLATE(B1287, ""fr"", ""en"")"),"Received quickly satisfied in pretty bag. Size it right, of good quality cotton. Good support to the elastic.")</f>
        <v>Received quickly satisfied in pretty bag. Size it right, of good quality cotton. Good support to the elastic.</v>
      </c>
    </row>
    <row r="1288">
      <c r="A1288" s="1">
        <v>5.0</v>
      </c>
      <c r="B1288" s="1" t="s">
        <v>1285</v>
      </c>
      <c r="C1288" t="str">
        <f>IFERROR(__xludf.DUMMYFUNCTION("GOOGLETRANSLATE(B1288, ""fr"", ""en"")"),"Surprisingly surprise! Having been a bit skeptical at time of order I must confess myself completely convinced. First point the parcel was to be delivered on December 14 off I received November 27 (first positive point!). Then I received the bracelets on "&amp;"a very pretty box (pictured) and this one was packed in bubble wrap. The bracelets were both packed in a plastic bag that I already removed and they were still individually packaged in small airtight pouch. Very very happy with my purchase, we can also se"&amp;"e that the bracelets are quality even if the thread seems a little fragile ..")</f>
        <v>Surprisingly surprise! Having been a bit skeptical at time of order I must confess myself completely convinced. First point the parcel was to be delivered on December 14 off I received November 27 (first positive point!). Then I received the bracelets on a very pretty box (pictured) and this one was packed in bubble wrap. The bracelets were both packed in a plastic bag that I already removed and they were still individually packaged in small airtight pouch. Very very happy with my purchase, we can also see that the bracelets are quality even if the thread seems a little fragile ..</v>
      </c>
    </row>
    <row r="1289">
      <c r="A1289" s="1">
        <v>5.0</v>
      </c>
      <c r="B1289" s="1" t="s">
        <v>1286</v>
      </c>
      <c r="C1289" t="str">
        <f>IFERROR(__xludf.DUMMYFUNCTION("GOOGLETRANSLATE(B1289, ""fr"", ""en"")"),"Excellent value Excellent value, beautiful bracelet faithful description. There are tools provided to adjust the sizes of the bracelet, and it is well thought out. The bracelet is dressed and gives a very aesthetic appearance. For durability I do not even"&amp;" spoken to me it's only been 2 days I wear. The only comment I can do is to provide another silicone bracelet for sports because it does not clamp quite a handful for reliable readings")</f>
        <v>Excellent value Excellent value, beautiful bracelet faithful description. There are tools provided to adjust the sizes of the bracelet, and it is well thought out. The bracelet is dressed and gives a very aesthetic appearance. For durability I do not even spoken to me it's only been 2 days I wear. The only comment I can do is to provide another silicone bracelet for sports because it does not clamp quite a handful for reliable readings</v>
      </c>
    </row>
    <row r="1290">
      <c r="A1290" s="1">
        <v>5.0</v>
      </c>
      <c r="B1290" s="1" t="s">
        <v>1287</v>
      </c>
      <c r="C1290" t="str">
        <f>IFERROR(__xludf.DUMMYFUNCTION("GOOGLETRANSLATE(B1290, ""fr"", ""en"")"),"Top Top just no zip but his suits me")</f>
        <v>Top Top just no zip but his suits me</v>
      </c>
    </row>
    <row r="1291">
      <c r="A1291" s="1">
        <v>5.0</v>
      </c>
      <c r="B1291" s="1" t="s">
        <v>1288</v>
      </c>
      <c r="C1291" t="str">
        <f>IFERROR(__xludf.DUMMYFUNCTION("GOOGLETRANSLATE(B1291, ""fr"", ""en"")"),"perfect perfect")</f>
        <v>perfect perfect</v>
      </c>
    </row>
    <row r="1292">
      <c r="A1292" s="1">
        <v>5.0</v>
      </c>
      <c r="B1292" s="1" t="s">
        <v>1289</v>
      </c>
      <c r="C1292" t="str">
        <f>IFERROR(__xludf.DUMMYFUNCTION("GOOGLETRANSLATE(B1292, ""fr"", ""en"")"),"I love Super bottle drainer whether aesthetic or practical level. I arranged behind my sink and it fits perfectly. The bottles are well maintained and teats. The green part can stand up very easily in order to clean and empty the drip tray. Cleaning is ve"&amp;"ry simple. The ""peaks"" are not flexible as I thought but rigid enough which ensures optimum support. I installed 5 bottles carefree and without any accessories and more; I am really happy with my purchase and I highly, highly recommend this product")</f>
        <v>I love Super bottle drainer whether aesthetic or practical level. I arranged behind my sink and it fits perfectly. The bottles are well maintained and teats. The green part can stand up very easily in order to clean and empty the drip tray. Cleaning is very simple. The "peaks" are not flexible as I thought but rigid enough which ensures optimum support. I installed 5 bottles carefree and without any accessories and more; I am really happy with my purchase and I highly, highly recommend this product</v>
      </c>
    </row>
    <row r="1293">
      <c r="A1293" s="1">
        <v>5.0</v>
      </c>
      <c r="B1293" s="1" t="s">
        <v>1290</v>
      </c>
      <c r="C1293" t="str">
        <f>IFERROR(__xludf.DUMMYFUNCTION("GOOGLETRANSLATE(B1293, ""fr"", ""en"")"),"Perfect I have a hp 3050 desket dating a little. I did not even have to reconfigure. Labels are perfectly adapted to the printing of stamps and no worries in the passage of the printer. I highly recommend this product. impeccable glue. reasonable price")</f>
        <v>Perfect I have a hp 3050 desket dating a little. I did not even have to reconfigure. Labels are perfectly adapted to the printing of stamps and no worries in the passage of the printer. I highly recommend this product. impeccable glue. reasonable price</v>
      </c>
    </row>
    <row r="1294">
      <c r="A1294" s="1">
        <v>5.0</v>
      </c>
      <c r="B1294" s="1" t="s">
        <v>1291</v>
      </c>
      <c r="C1294" t="str">
        <f>IFERROR(__xludf.DUMMYFUNCTION("GOOGLETRANSLATE(B1294, ""fr"", ""en"")"),"Hyper comfortable Yesterday I tested my new safety shoes for one day from 10 am all the time to walk up and really not bad night at the feet they are light and comfortable and you advice small flat on wet they slip")</f>
        <v>Hyper comfortable Yesterday I tested my new safety shoes for one day from 10 am all the time to walk up and really not bad night at the feet they are light and comfortable and you advice small flat on wet they slip</v>
      </c>
    </row>
    <row r="1295">
      <c r="A1295" s="1">
        <v>5.0</v>
      </c>
      <c r="B1295" s="1" t="s">
        <v>1292</v>
      </c>
      <c r="C1295" t="str">
        <f>IFERROR(__xludf.DUMMYFUNCTION("GOOGLETRANSLATE(B1295, ""fr"", ""en"")"),"I love very fresh Very good laundry")</f>
        <v>I love very fresh Very good laundry</v>
      </c>
    </row>
    <row r="1296">
      <c r="A1296" s="1">
        <v>5.0</v>
      </c>
      <c r="B1296" s="1" t="s">
        <v>1293</v>
      </c>
      <c r="C1296" t="str">
        <f>IFERROR(__xludf.DUMMYFUNCTION("GOOGLETRANSLATE(B1296, ""fr"", ""en"")"),"Comfortable, Sock quality suitable as planned I put on the 42, it was convenient for this follow with my pentacourt, very good quality and comfortable.")</f>
        <v>Comfortable, Sock quality suitable as planned I put on the 42, it was convenient for this follow with my pentacourt, very good quality and comfortable.</v>
      </c>
    </row>
    <row r="1297">
      <c r="A1297" s="1">
        <v>2.0</v>
      </c>
      <c r="B1297" s="1" t="s">
        <v>1294</v>
      </c>
      <c r="C1297" t="str">
        <f>IFERROR(__xludf.DUMMYFUNCTION("GOOGLETRANSLATE(B1297, ""fr"", ""en"")"),"Disappointed by this means. It works fine but the size is too small.")</f>
        <v>Disappointed by this means. It works fine but the size is too small.</v>
      </c>
    </row>
    <row r="1298">
      <c r="A1298" s="1">
        <v>1.0</v>
      </c>
      <c r="B1298" s="1" t="s">
        <v>1295</v>
      </c>
      <c r="C1298" t="str">
        <f>IFERROR(__xludf.DUMMYFUNCTION("GOOGLETRANSLATE(B1298, ""fr"", ""en"")"),"Manue a pearl PRETTY BUT MISSING A PEARL AND DOES NOT IN PLACE")</f>
        <v>Manue a pearl PRETTY BUT MISSING A PEARL AND DOES NOT IN PLACE</v>
      </c>
    </row>
    <row r="1299">
      <c r="A1299" s="1">
        <v>1.0</v>
      </c>
      <c r="B1299" s="1" t="s">
        <v>1296</v>
      </c>
      <c r="C1299" t="str">
        <f>IFERROR(__xludf.DUMMYFUNCTION("GOOGLETRANSLATE(B1299, ""fr"", ""en"")"),"Counterfeiting? Quality very poor I was assured that this was true vans, but after 2.5 months of average use (1-2 times per week) canvas amid the inside of the foot is slightly torn and quality remains unproven. Amazon has disappointed that I trusted, do "&amp;"not buy here!")</f>
        <v>Counterfeiting? Quality very poor I was assured that this was true vans, but after 2.5 months of average use (1-2 times per week) canvas amid the inside of the foot is slightly torn and quality remains unproven. Amazon has disappointed that I trusted, do not buy here!</v>
      </c>
    </row>
    <row r="1300">
      <c r="A1300" s="1">
        <v>3.0</v>
      </c>
      <c r="B1300" s="1" t="s">
        <v>1297</v>
      </c>
      <c r="C1300" t="str">
        <f>IFERROR(__xludf.DUMMYFUNCTION("GOOGLETRANSLATE(B1300, ""fr"", ""en"")"),"Iron Jewelry thick enough to adapt my locks are received 120 item in pocheton Very nice jewelery 3 stars because its fine jewelry so its is quickly abyss")</f>
        <v>Iron Jewelry thick enough to adapt my locks are received 120 item in pocheton Very nice jewelery 3 stars because its fine jewelry so its is quickly abyss</v>
      </c>
    </row>
    <row r="1301">
      <c r="A1301" s="1">
        <v>4.0</v>
      </c>
      <c r="B1301" s="1" t="s">
        <v>1298</v>
      </c>
      <c r="C1301" t="str">
        <f>IFERROR(__xludf.DUMMYFUNCTION("GOOGLETRANSLATE(B1301, ""fr"", ""en"")"),"perfect for taking medications that tiny Dodie-Microbiberon 50ml narrow neck nipple 3 speed speed 1 - Random model is actually not a bottle to toddler premature babies or for Lilliputians, but calibrated to administer medications to infants . it is not de"&amp;"signed to be shaken to mix powdered milk and water, but just to get the drugs to be administered.")</f>
        <v>perfect for taking medications that tiny Dodie-Microbiberon 50ml narrow neck nipple 3 speed speed 1 - Random model is actually not a bottle to toddler premature babies or for Lilliputians, but calibrated to administer medications to infants . it is not designed to be shaken to mix powdered milk and water, but just to get the drugs to be administered.</v>
      </c>
    </row>
    <row r="1302">
      <c r="A1302" s="1">
        <v>4.0</v>
      </c>
      <c r="B1302" s="1" t="s">
        <v>1299</v>
      </c>
      <c r="C1302" t="str">
        <f>IFERROR(__xludf.DUMMYFUNCTION("GOOGLETRANSLATE(B1302, ""fr"", ""en"")"),"satisfied with this purchase slightly larger but no more, off the calf is fine, perfect for the garden")</f>
        <v>satisfied with this purchase slightly larger but no more, off the calf is fine, perfect for the garden</v>
      </c>
    </row>
    <row r="1303">
      <c r="A1303" s="1">
        <v>4.0</v>
      </c>
      <c r="B1303" s="1" t="s">
        <v>1300</v>
      </c>
      <c r="C1303" t="str">
        <f>IFERROR(__xludf.DUMMYFUNCTION("GOOGLETRANSLATE(B1303, ""fr"", ""en"")"),"More efficient at heating! After ordering the first model ""chosen by Amazon,"" I got to deliver this model seems more efficient at heating! Unfortunately the liner is less bound feet and has a little tendency to collapse! My wife seems happy, this is the"&amp;" main!")</f>
        <v>More efficient at heating! After ordering the first model "chosen by Amazon," I got to deliver this model seems more efficient at heating! Unfortunately the liner is less bound feet and has a little tendency to collapse! My wife seems happy, this is the main!</v>
      </c>
    </row>
    <row r="1304">
      <c r="A1304" s="1">
        <v>4.0</v>
      </c>
      <c r="B1304" s="1" t="s">
        <v>1301</v>
      </c>
      <c r="C1304" t="str">
        <f>IFERROR(__xludf.DUMMYFUNCTION("GOOGLETRANSLATE(B1304, ""fr"", ""en"")"),"Good micro Ordered with some so-called aesthetic flaws, I realize they really are minor and do not interfere at all broadcast quality. Used with Xenyx 302USB, adjustments are easy, wide capsule provides very good voice pickup and retransmission is fairly "&amp;"accurate. However, I put a 4 stars because the thread for pop filter is not well machined, I can remove and replace without unscrewing anything.")</f>
        <v>Good micro Ordered with some so-called aesthetic flaws, I realize they really are minor and do not interfere at all broadcast quality. Used with Xenyx 302USB, adjustments are easy, wide capsule provides very good voice pickup and retransmission is fairly accurate. However, I put a 4 stars because the thread for pop filter is not well machined, I can remove and replace without unscrewing anything.</v>
      </c>
    </row>
    <row r="1305">
      <c r="A1305" s="1">
        <v>5.0</v>
      </c>
      <c r="B1305" s="1" t="s">
        <v>1302</v>
      </c>
      <c r="C1305" t="str">
        <f>IFERROR(__xludf.DUMMYFUNCTION("GOOGLETRANSLATE(B1305, ""fr"", ""en"")"),"Very good product. Very good for mountain biking ...")</f>
        <v>Very good product. Very good for mountain biking ...</v>
      </c>
    </row>
    <row r="1306">
      <c r="A1306" s="1">
        <v>5.0</v>
      </c>
      <c r="B1306" s="1" t="s">
        <v>1303</v>
      </c>
      <c r="C1306" t="str">
        <f>IFERROR(__xludf.DUMMYFUNCTION("GOOGLETRANSLATE(B1306, ""fr"", ""en"")"),"pretty Ras")</f>
        <v>pretty Ras</v>
      </c>
    </row>
    <row r="1307">
      <c r="A1307" s="1">
        <v>5.0</v>
      </c>
      <c r="B1307" s="1" t="s">
        <v>1304</v>
      </c>
      <c r="C1307" t="str">
        <f>IFERROR(__xludf.DUMMYFUNCTION("GOOGLETRANSLATE(B1307, ""fr"", ""en"")"),"I will pass over me great product for sneakers, duvets and towels among other course; So sometimes in addition to laundry ARIEL Simply")</f>
        <v>I will pass over me great product for sneakers, duvets and towels among other course; So sometimes in addition to laundry ARIEL Simply</v>
      </c>
    </row>
    <row r="1308">
      <c r="A1308" s="1">
        <v>5.0</v>
      </c>
      <c r="B1308" s="1" t="s">
        <v>1305</v>
      </c>
      <c r="C1308" t="str">
        <f>IFERROR(__xludf.DUMMYFUNCTION("GOOGLETRANSLATE(B1308, ""fr"", ""en"")"),"Super top quality product Good product consistent with the description. The product mass very well and makes very little noise. Several positions for massage and full record. For several weeks I use and my back pain has gone. Great product I recommend")</f>
        <v>Super top quality product Good product consistent with the description. The product mass very well and makes very little noise. Several positions for massage and full record. For several weeks I use and my back pain has gone. Great product I recommend</v>
      </c>
    </row>
    <row r="1309">
      <c r="A1309" s="1">
        <v>5.0</v>
      </c>
      <c r="B1309" s="1" t="s">
        <v>1306</v>
      </c>
      <c r="C1309" t="str">
        <f>IFERROR(__xludf.DUMMYFUNCTION("GOOGLETRANSLATE(B1309, ""fr"", ""en"")"),"I recommend Nothing to say, the product is fine")</f>
        <v>I recommend Nothing to say, the product is fine</v>
      </c>
    </row>
    <row r="1310">
      <c r="A1310" s="1">
        <v>5.0</v>
      </c>
      <c r="B1310" s="1" t="s">
        <v>1307</v>
      </c>
      <c r="C1310" t="str">
        <f>IFERROR(__xludf.DUMMYFUNCTION("GOOGLETRANSLATE(B1310, ""fr"", ""en"")"),"Basketball Basketball perfect fast delivery")</f>
        <v>Basketball Basketball perfect fast delivery</v>
      </c>
    </row>
    <row r="1311">
      <c r="A1311" s="1">
        <v>5.0</v>
      </c>
      <c r="B1311" s="1" t="s">
        <v>1308</v>
      </c>
      <c r="C1311" t="str">
        <f>IFERROR(__xludf.DUMMYFUNCTION("GOOGLETRANSLATE(B1311, ""fr"", ""en"")"),"Convenient for sport I bought these socks lot of different colors for my sport sessions. I find them very good, good quality and very soft. suited to my size.")</f>
        <v>Convenient for sport I bought these socks lot of different colors for my sport sessions. I find them very good, good quality and very soft. suited to my size.</v>
      </c>
    </row>
    <row r="1312">
      <c r="A1312" s="1">
        <v>5.0</v>
      </c>
      <c r="B1312" s="1" t="s">
        <v>1309</v>
      </c>
      <c r="C1312" t="str">
        <f>IFERROR(__xludf.DUMMYFUNCTION("GOOGLETRANSLATE(B1312, ""fr"", ""en"")"),"Beware sizes Take three sizes bigger, I play 38 and I gave it to my niece 12 years Otherwise super nice")</f>
        <v>Beware sizes Take three sizes bigger, I play 38 and I gave it to my niece 12 years Otherwise super nice</v>
      </c>
    </row>
    <row r="1313">
      <c r="A1313" s="1">
        <v>5.0</v>
      </c>
      <c r="B1313" s="1" t="s">
        <v>1310</v>
      </c>
      <c r="C1313" t="str">
        <f>IFERROR(__xludf.DUMMYFUNCTION("GOOGLETRANSLATE(B1313, ""fr"", ""en"")"),"Triple 👍 Command carried out with ease, nickel product. Fast delivery and monitoring of effective control.")</f>
        <v>Triple 👍 Command carried out with ease, nickel product. Fast delivery and monitoring of effective control.</v>
      </c>
    </row>
    <row r="1314">
      <c r="A1314" s="1">
        <v>5.0</v>
      </c>
      <c r="B1314" s="1" t="s">
        <v>1311</v>
      </c>
      <c r="C1314" t="str">
        <f>IFERROR(__xludf.DUMMYFUNCTION("GOOGLETRANSLATE(B1314, ""fr"", ""en"")"),"Perfect Aesthetics, tight, I bought it to please my partner. And we love")</f>
        <v>Perfect Aesthetics, tight, I bought it to please my partner. And we love</v>
      </c>
    </row>
    <row r="1315">
      <c r="A1315" s="1">
        <v>5.0</v>
      </c>
      <c r="B1315" s="1" t="s">
        <v>1312</v>
      </c>
      <c r="C1315" t="str">
        <f>IFERROR(__xludf.DUMMYFUNCTION("GOOGLETRANSLATE(B1315, ""fr"", ""en"")"),"Pretty and very correct quality Beautiful jewelry, rather larger than the photo might suggest and quality quite acceptable for a jewel that price realized in non-precious metals. This is not the course platinum but it is a beautiful jewel. Only the packag"&amp;"ing is a little cheap.")</f>
        <v>Pretty and very correct quality Beautiful jewelry, rather larger than the photo might suggest and quality quite acceptable for a jewel that price realized in non-precious metals. This is not the course platinum but it is a beautiful jewel. Only the packaging is a little cheap.</v>
      </c>
    </row>
    <row r="1316">
      <c r="A1316" s="1">
        <v>5.0</v>
      </c>
      <c r="B1316" s="1" t="s">
        <v>1313</v>
      </c>
      <c r="C1316" t="str">
        <f>IFERROR(__xludf.DUMMYFUNCTION("GOOGLETRANSLATE(B1316, ""fr"", ""en"")"),"Headphones on top Headphones are perfect: autonomy of several hours, do not fall from the ears and the sound quality is excellent. Plus they are cheap.")</f>
        <v>Headphones on top Headphones are perfect: autonomy of several hours, do not fall from the ears and the sound quality is excellent. Plus they are cheap.</v>
      </c>
    </row>
    <row r="1317">
      <c r="A1317" s="1">
        <v>5.0</v>
      </c>
      <c r="B1317" s="1" t="s">
        <v>1314</v>
      </c>
      <c r="C1317" t="str">
        <f>IFERROR(__xludf.DUMMYFUNCTION("GOOGLETRANSLATE(B1317, ""fr"", ""en"")"),"Excellent value for money I bought these bottles in promo (18 € 6 !!) and I am very satisfied. They are really beautiful and my little boy of 3 ½ months really appreciate teats Tommee Tippee.")</f>
        <v>Excellent value for money I bought these bottles in promo (18 € 6 !!) and I am very satisfied. They are really beautiful and my little boy of 3 ½ months really appreciate teats Tommee Tippee.</v>
      </c>
    </row>
    <row r="1318">
      <c r="A1318" s="1">
        <v>5.0</v>
      </c>
      <c r="B1318" s="1" t="s">
        <v>1315</v>
      </c>
      <c r="C1318" t="str">
        <f>IFERROR(__xludf.DUMMYFUNCTION("GOOGLETRANSLATE(B1318, ""fr"", ""en"")"),"top ! good product, very complete, easy to use kit, works perfect, very good :) rendering provided with full of leaves therefore directly ready to use I find for the price it is a very good value, I met no problem with this purchase so I am satisfied")</f>
        <v>top ! good product, very complete, easy to use kit, works perfect, very good :) rendering provided with full of leaves therefore directly ready to use I find for the price it is a very good value, I met no problem with this purchase so I am satisfied</v>
      </c>
    </row>
    <row r="1319">
      <c r="A1319" s="1">
        <v>5.0</v>
      </c>
      <c r="B1319" s="1" t="s">
        <v>1316</v>
      </c>
      <c r="C1319" t="str">
        <f>IFERROR(__xludf.DUMMYFUNCTION("GOOGLETRANSLATE(B1319, ""fr"", ""en"")"),"Nickel Super socks, well cut and well made")</f>
        <v>Nickel Super socks, well cut and well made</v>
      </c>
    </row>
    <row r="1320">
      <c r="A1320" s="1">
        <v>2.0</v>
      </c>
      <c r="B1320" s="1" t="s">
        <v>1317</v>
      </c>
      <c r="C1320" t="str">
        <f>IFERROR(__xludf.DUMMYFUNCTION("GOOGLETRANSLATE(B1320, ""fr"", ""en"")"),"medium medium")</f>
        <v>medium medium</v>
      </c>
    </row>
    <row r="1321">
      <c r="A1321" s="1">
        <v>1.0</v>
      </c>
      <c r="B1321" s="1" t="s">
        <v>1318</v>
      </c>
      <c r="C1321" t="str">
        <f>IFERROR(__xludf.DUMMYFUNCTION("GOOGLETRANSLATE(B1321, ""fr"", ""en"")"),"Very poor Large problem of false contact with the power cable, no longer walking in a few months, to avoid")</f>
        <v>Very poor Large problem of false contact with the power cable, no longer walking in a few months, to avoid</v>
      </c>
    </row>
    <row r="1322">
      <c r="A1322" s="1">
        <v>3.0</v>
      </c>
      <c r="B1322" s="1" t="s">
        <v>1319</v>
      </c>
      <c r="C1322" t="str">
        <f>IFERROR(__xludf.DUMMYFUNCTION("GOOGLETRANSLATE(B1322, ""fr"", ""en"")"),"Needles too thin needles are too thin which makes it difficult to read time because there the operation of the background process.")</f>
        <v>Needles too thin needles are too thin which makes it difficult to read time because there the operation of the background process.</v>
      </c>
    </row>
    <row r="1323">
      <c r="A1323" s="1">
        <v>3.0</v>
      </c>
      <c r="B1323" s="1" t="s">
        <v>1320</v>
      </c>
      <c r="C1323" t="str">
        <f>IFERROR(__xludf.DUMMYFUNCTION("GOOGLETRANSLATE(B1323, ""fr"", ""en"")"),"BELLE CASIO, Belle shows good quality, arrived in a case in velue with manual and warranty. delivered before the date the recommended prévue.je")</f>
        <v>BELLE CASIO, Belle shows good quality, arrived in a case in velue with manual and warranty. delivered before the date the recommended prévue.je</v>
      </c>
    </row>
    <row r="1324">
      <c r="A1324" s="1">
        <v>4.0</v>
      </c>
      <c r="B1324" s="1" t="s">
        <v>1321</v>
      </c>
      <c r="C1324" t="str">
        <f>IFERROR(__xludf.DUMMYFUNCTION("GOOGLETRANSLATE(B1324, ""fr"", ""en"")"),"Good value Good value for money for it's light and elegant Timberland Boots both buy used they are new just the box was damaged")</f>
        <v>Good value Good value for money for it's light and elegant Timberland Boots both buy used they are new just the box was damaged</v>
      </c>
    </row>
    <row r="1325">
      <c r="A1325" s="1">
        <v>4.0</v>
      </c>
      <c r="B1325" s="1" t="s">
        <v>1322</v>
      </c>
      <c r="C1325" t="str">
        <f>IFERROR(__xludf.DUMMYFUNCTION("GOOGLETRANSLATE(B1325, ""fr"", ""en"")"),"Perfect ! Pretty, well built, easy to use. VERY fast heating times. I recommend.")</f>
        <v>Perfect ! Pretty, well built, easy to use. VERY fast heating times. I recommend.</v>
      </c>
    </row>
    <row r="1326">
      <c r="A1326" s="1">
        <v>4.0</v>
      </c>
      <c r="B1326" s="1" t="s">
        <v>1323</v>
      </c>
      <c r="C1326" t="str">
        <f>IFERROR(__xludf.DUMMYFUNCTION("GOOGLETRANSLATE(B1326, ""fr"", ""en"")"),"Quality / correct price Works well, considering its price not disappointed with my purchase")</f>
        <v>Quality / correct price Works well, considering its price not disappointed with my purchase</v>
      </c>
    </row>
    <row r="1327">
      <c r="A1327" s="1">
        <v>4.0</v>
      </c>
      <c r="B1327" s="1" t="s">
        <v>1324</v>
      </c>
      <c r="C1327" t="str">
        <f>IFERROR(__xludf.DUMMYFUNCTION("GOOGLETRANSLATE(B1327, ""fr"", ""en"")"),"sock in his foot socks nice and pleasant. A good look. we will see for the holding time after several washing ... treat yourself at this price")</f>
        <v>sock in his foot socks nice and pleasant. A good look. we will see for the holding time after several washing ... treat yourself at this price</v>
      </c>
    </row>
    <row r="1328">
      <c r="A1328" s="1">
        <v>5.0</v>
      </c>
      <c r="B1328" s="1" t="s">
        <v>1325</v>
      </c>
      <c r="C1328" t="str">
        <f>IFERROR(__xludf.DUMMYFUNCTION("GOOGLETRANSLATE(B1328, ""fr"", ""en"")"),"Child Microphone works very well and the quality is top bluetooth there is no gap between the phone and the microphone.")</f>
        <v>Child Microphone works very well and the quality is top bluetooth there is no gap between the phone and the microphone.</v>
      </c>
    </row>
    <row r="1329">
      <c r="A1329" s="1">
        <v>5.0</v>
      </c>
      <c r="B1329" s="1" t="s">
        <v>1326</v>
      </c>
      <c r="C1329" t="str">
        <f>IFERROR(__xludf.DUMMYFUNCTION("GOOGLETRANSLATE(B1329, ""fr"", ""en"")"),"Good size and complies and sends rapid ..Au top .Merci Great product")</f>
        <v>Good size and complies and sends rapid ..Au top .Merci Great product</v>
      </c>
    </row>
    <row r="1330">
      <c r="A1330" s="1">
        <v>5.0</v>
      </c>
      <c r="B1330" s="1" t="s">
        <v>1327</v>
      </c>
      <c r="C1330" t="str">
        <f>IFERROR(__xludf.DUMMYFUNCTION("GOOGLETRANSLATE(B1330, ""fr"", ""en"")"),"After six months full-time use nothing to report Complies description fast delivery good product Solid shoe A little heavy for my taste Not very tight in rain")</f>
        <v>After six months full-time use nothing to report Complies description fast delivery good product Solid shoe A little heavy for my taste Not very tight in rain</v>
      </c>
    </row>
    <row r="1331">
      <c r="A1331" s="1">
        <v>5.0</v>
      </c>
      <c r="B1331" s="1" t="s">
        <v>1328</v>
      </c>
      <c r="C1331" t="str">
        <f>IFERROR(__xludf.DUMMYFUNCTION("GOOGLETRANSLATE(B1331, ""fr"", ""en"")"),"super good cup holds well")</f>
        <v>super good cup holds well</v>
      </c>
    </row>
    <row r="1332">
      <c r="A1332" s="1">
        <v>5.0</v>
      </c>
      <c r="B1332" s="1" t="s">
        <v>1329</v>
      </c>
      <c r="C1332" t="str">
        <f>IFERROR(__xludf.DUMMYFUNCTION("GOOGLETRANSLATE(B1332, ""fr"", ""en"")"),"38/40 or 38/40 Size S seams are well made it is simple fabric rather thin but strong I use for my Tai Chi")</f>
        <v>38/40 or 38/40 Size S seams are well made it is simple fabric rather thin but strong I use for my Tai Chi</v>
      </c>
    </row>
    <row r="1333">
      <c r="A1333" s="1">
        <v>5.0</v>
      </c>
      <c r="B1333" s="1" t="s">
        <v>1330</v>
      </c>
      <c r="C1333" t="str">
        <f>IFERROR(__xludf.DUMMYFUNCTION("GOOGLETRANSLATE(B1333, ""fr"", ""en"")"),"RAS Received in timely product according to the picture and size also nothing wrong")</f>
        <v>RAS Received in timely product according to the picture and size also nothing wrong</v>
      </c>
    </row>
    <row r="1334">
      <c r="A1334" s="1">
        <v>5.0</v>
      </c>
      <c r="B1334" s="1" t="s">
        <v>1331</v>
      </c>
      <c r="C1334" t="str">
        <f>IFERROR(__xludf.DUMMYFUNCTION("GOOGLETRANSLATE(B1334, ""fr"", ""en"")"),"Unbelievable I bought this mic to one of my children. Here quality extremely surprised me. I bought a different one for another of my children. There difference is amazing. Incommensurate. In fact we returned the microphone to bought a second like this. R"&amp;"eally do not hesitate. They cost as expensive as microphones for children but now the quality is to go and you will not starved of product reliability. They are also easy to use. It's all win.")</f>
        <v>Unbelievable I bought this mic to one of my children. Here quality extremely surprised me. I bought a different one for another of my children. There difference is amazing. Incommensurate. In fact we returned the microphone to bought a second like this. Really do not hesitate. They cost as expensive as microphones for children but now the quality is to go and you will not starved of product reliability. They are also easy to use. It's all win.</v>
      </c>
    </row>
    <row r="1335">
      <c r="A1335" s="1">
        <v>5.0</v>
      </c>
      <c r="B1335" s="1" t="s">
        <v>1332</v>
      </c>
      <c r="C1335" t="str">
        <f>IFERROR(__xludf.DUMMYFUNCTION("GOOGLETRANSLATE(B1335, ""fr"", ""en"")"),"To buy ! Frankly for anyone starting on Youtube or even for someone experienced no hesitation. I could myself make the comparison with a set-up almost identical with the RODE brand and the finding and binding: An excellent and similar quality but with € 2"&amp;"00 difference. So instead of buying everything separate or another brand just as professional, you can buy this product eyes closed with a quality / price ratio. And the Blue brand is well known for its exceptional product.")</f>
        <v>To buy ! Frankly for anyone starting on Youtube or even for someone experienced no hesitation. I could myself make the comparison with a set-up almost identical with the RODE brand and the finding and binding: An excellent and similar quality but with € 200 difference. So instead of buying everything separate or another brand just as professional, you can buy this product eyes closed with a quality / price ratio. And the Blue brand is well known for its exceptional product.</v>
      </c>
    </row>
    <row r="1336">
      <c r="A1336" s="1">
        <v>5.0</v>
      </c>
      <c r="B1336" s="1" t="s">
        <v>1333</v>
      </c>
      <c r="C1336" t="str">
        <f>IFERROR(__xludf.DUMMYFUNCTION("GOOGLETRANSLATE(B1336, ""fr"", ""en"")"),"Good sound and good behavior to run !!! I tested Saturday late afternoon and Sunday late afternoon this Bluetooth headset to go running. A very good sound quality and a perfect hold on the ears during my jogging an hour. I already tested this material on "&amp;"much more expensive brands. I think the value is almost unbeatable I recommend it. Cordially.")</f>
        <v>Good sound and good behavior to run !!! I tested Saturday late afternoon and Sunday late afternoon this Bluetooth headset to go running. A very good sound quality and a perfect hold on the ears during my jogging an hour. I already tested this material on much more expensive brands. I think the value is almost unbeatable I recommend it. Cordially.</v>
      </c>
    </row>
    <row r="1337">
      <c r="A1337" s="1">
        <v>5.0</v>
      </c>
      <c r="B1337" s="1" t="s">
        <v>1334</v>
      </c>
      <c r="C1337" t="str">
        <f>IFERROR(__xludf.DUMMYFUNCTION("GOOGLETRANSLATE(B1337, ""fr"", ""en"")"),"Top top top Just great, we did well served early diversification and summer for fruit. My daughter quickly understood the principle and did not hesitate to ask me to refill the nibbler with the pieces. A real glutton is awakened in it))))")</f>
        <v>Top top top Just great, we did well served early diversification and summer for fruit. My daughter quickly understood the principle and did not hesitate to ask me to refill the nibbler with the pieces. A real glutton is awakened in it))))</v>
      </c>
    </row>
    <row r="1338">
      <c r="A1338" s="1">
        <v>5.0</v>
      </c>
      <c r="B1338" s="1" t="s">
        <v>1335</v>
      </c>
      <c r="C1338" t="str">
        <f>IFERROR(__xludf.DUMMYFUNCTION("GOOGLETRANSLATE(B1338, ""fr"", ""en"")"),"Watch CIVO Dijitale Military Man Grand Number 50m Waterproof Very good good quality easy read grip, a little flat leaflet English while this article is sold in France, a French user would have been nice, but I appreciate all the same this watch ...... . g"&amp;"ood cotination")</f>
        <v>Watch CIVO Dijitale Military Man Grand Number 50m Waterproof Very good good quality easy read grip, a little flat leaflet English while this article is sold in France, a French user would have been nice, but I appreciate all the same this watch ...... . good cotination</v>
      </c>
    </row>
    <row r="1339">
      <c r="A1339" s="1">
        <v>5.0</v>
      </c>
      <c r="B1339" s="1" t="s">
        <v>1336</v>
      </c>
      <c r="C1339" t="str">
        <f>IFERROR(__xludf.DUMMYFUNCTION("GOOGLETRANSLATE(B1339, ""fr"", ""en"")"),"Very handy slippers beautiful slippers, super comfortable, anti skid soles on top, they carve really ""normal"", I highly recommend this product")</f>
        <v>Very handy slippers beautiful slippers, super comfortable, anti skid soles on top, they carve really "normal", I highly recommend this product</v>
      </c>
    </row>
    <row r="1340">
      <c r="A1340" s="1">
        <v>5.0</v>
      </c>
      <c r="B1340" s="1" t="s">
        <v>1337</v>
      </c>
      <c r="C1340" t="str">
        <f>IFERROR(__xludf.DUMMYFUNCTION("GOOGLETRANSLATE(B1340, ""fr"", ""en"")"),"It was very nice to made a Christmas gift, RAS for now, very beautiful watch, packaging, presentation is everything! Papou is delighted him so am I!")</f>
        <v>It was very nice to made a Christmas gift, RAS for now, very beautiful watch, packaging, presentation is everything! Papou is delighted him so am I!</v>
      </c>
    </row>
    <row r="1341">
      <c r="A1341" s="1">
        <v>5.0</v>
      </c>
      <c r="B1341" s="1" t="s">
        <v>1338</v>
      </c>
      <c r="C1341" t="str">
        <f>IFERROR(__xludf.DUMMYFUNCTION("GOOGLETRANSLATE(B1341, ""fr"", ""en"")"),"My cable VGA Cable for me to connect my monitor to my turn. perfect value for money. I recommend the product.")</f>
        <v>My cable VGA Cable for me to connect my monitor to my turn. perfect value for money. I recommend the product.</v>
      </c>
    </row>
    <row r="1342">
      <c r="A1342" s="1">
        <v>5.0</v>
      </c>
      <c r="B1342" s="1" t="s">
        <v>1339</v>
      </c>
      <c r="C1342" t="str">
        <f>IFERROR(__xludf.DUMMYFUNCTION("GOOGLETRANSLATE(B1342, ""fr"", ""en"")"),"Very nice watch The watch is presented in a beautiful black case with the image of Ice Watch and BMW Motorsport. His leather strap makes it comfortable to wear, although lacking a hole for men with fine wrist. The stopwatch function is a good addition. Pl"&amp;"ease note also, the second hand is not one, this is the needle of the stopwatch. aesthetic side, I find this very beautiful show! She has a look that is both sporty and class, with touches of bright red. For those who would not especially BMW, do not be o"&amp;"ffended, the brand is very discreet on the watch, a small logo on the dial and a reference tone on tone on its contour. The watch is heavy but not too much, it inspires confidence in its strength. The finishes are very beautiful, both on the dial and on t"&amp;"he bracelet.")</f>
        <v>Very nice watch The watch is presented in a beautiful black case with the image of Ice Watch and BMW Motorsport. His leather strap makes it comfortable to wear, although lacking a hole for men with fine wrist. The stopwatch function is a good addition. Please note also, the second hand is not one, this is the needle of the stopwatch. aesthetic side, I find this very beautiful show! She has a look that is both sporty and class, with touches of bright red. For those who would not especially BMW, do not be offended, the brand is very discreet on the watch, a small logo on the dial and a reference tone on tone on its contour. The watch is heavy but not too much, it inspires confidence in its strength. The finishes are very beautiful, both on the dial and on the bracelet.</v>
      </c>
    </row>
    <row r="1343">
      <c r="A1343" s="1">
        <v>2.0</v>
      </c>
      <c r="B1343" s="1" t="s">
        <v>1340</v>
      </c>
      <c r="C1343" t="str">
        <f>IFERROR(__xludf.DUMMYFUNCTION("GOOGLETRANSLATE(B1343, ""fr"", ""en"")"),"teats sizes S and M non Contrary to the description, nipples are not size M 6-18 months, there is an S and M size 0-6months 0-6 months, the pacifier is 0-6 months. Too bad, these bottles are great, my son loves them, so I have to take more teats next.")</f>
        <v>teats sizes S and M non Contrary to the description, nipples are not size M 6-18 months, there is an S and M size 0-6months 0-6 months, the pacifier is 0-6 months. Too bad, these bottles are great, my son loves them, so I have to take more teats next.</v>
      </c>
    </row>
    <row r="1344">
      <c r="A1344" s="1">
        <v>1.0</v>
      </c>
      <c r="B1344" s="1" t="s">
        <v>1341</v>
      </c>
      <c r="C1344" t="str">
        <f>IFERROR(__xludf.DUMMYFUNCTION("GOOGLETRANSLATE(B1344, ""fr"", ""en"")"),"++ disappointed Very disappointed! I highly recommend this product .... no LED indicator for power on, no visible water level, kettle extremely hot outside, there it burns very easily! ....... . if the kettle is interesting only for its design .... so !!!"&amp;"!!!!")</f>
        <v>++ disappointed Very disappointed! I highly recommend this product .... no LED indicator for power on, no visible water level, kettle extremely hot outside, there it burns very easily! ....... . if the kettle is interesting only for its design .... so !!!!!!!</v>
      </c>
    </row>
    <row r="1345">
      <c r="A1345" s="1">
        <v>1.0</v>
      </c>
      <c r="B1345" s="1" t="s">
        <v>1342</v>
      </c>
      <c r="C1345" t="str">
        <f>IFERROR(__xludf.DUMMYFUNCTION("GOOGLETRANSLATE(B1345, ""fr"", ""en"")"),"Break and disconnect constantly Cuts, for a brand like Bose and after many days has put tjs not stable I recommend this purchase for sports")</f>
        <v>Break and disconnect constantly Cuts, for a brand like Bose and after many days has put tjs not stable I recommend this purchase for sports</v>
      </c>
    </row>
    <row r="1346">
      <c r="A1346" s="1">
        <v>3.0</v>
      </c>
      <c r="B1346" s="1" t="s">
        <v>1343</v>
      </c>
      <c r="C1346" t="str">
        <f>IFERROR(__xludf.DUMMYFUNCTION("GOOGLETRANSLATE(B1346, ""fr"", ""en"")"),"Fairly convenient but correct correct Finishes finish, but smaller than expected interior because of the zipper a little discomfort the access.")</f>
        <v>Fairly convenient but correct correct Finishes finish, but smaller than expected interior because of the zipper a little discomfort the access.</v>
      </c>
    </row>
    <row r="1347">
      <c r="A1347" s="1">
        <v>3.0</v>
      </c>
      <c r="B1347" s="1" t="s">
        <v>1344</v>
      </c>
      <c r="C1347" t="str">
        <f>IFERROR(__xludf.DUMMYFUNCTION("GOOGLETRANSLATE(B1347, ""fr"", ""en"")"),"very well shows arrived in a package well closed in time periods specified so I recommend only downside the adjustment of the bracelet which is impossible to make yourself so costs of setting the size to settle in addition to information but it has nothin"&amp;"g to see with the seller")</f>
        <v>very well shows arrived in a package well closed in time periods specified so I recommend only downside the adjustment of the bracelet which is impossible to make yourself so costs of setting the size to settle in addition to information but it has nothing to see with the seller</v>
      </c>
    </row>
    <row r="1348">
      <c r="A1348" s="1">
        <v>4.0</v>
      </c>
      <c r="B1348" s="1" t="s">
        <v>1345</v>
      </c>
      <c r="C1348" t="str">
        <f>IFERROR(__xludf.DUMMYFUNCTION("GOOGLETRANSLATE(B1348, ""fr"", ""en"")"),"Okay Super small earrings for a girl with pierced ears already will recommend it for a fan minnie")</f>
        <v>Okay Super small earrings for a girl with pierced ears already will recommend it for a fan minnie</v>
      </c>
    </row>
    <row r="1349">
      <c r="A1349" s="1">
        <v>4.0</v>
      </c>
      <c r="B1349" s="1" t="s">
        <v>1346</v>
      </c>
      <c r="C1349" t="str">
        <f>IFERROR(__xludf.DUMMYFUNCTION("GOOGLETRANSLATE(B1349, ""fr"", ""en"")"),"elastic laces and I did not notice that there was a noose to tighten the waist, I do not think I would have bought otherwise. So it is a bit big for me, despite the laces tight as possible and does not exist in size S.")</f>
        <v>elastic laces and I did not notice that there was a noose to tighten the waist, I do not think I would have bought otherwise. So it is a bit big for me, despite the laces tight as possible and does not exist in size S.</v>
      </c>
    </row>
    <row r="1350">
      <c r="A1350" s="1">
        <v>4.0</v>
      </c>
      <c r="B1350" s="1" t="s">
        <v>1347</v>
      </c>
      <c r="C1350" t="str">
        <f>IFERROR(__xludf.DUMMYFUNCTION("GOOGLETRANSLATE(B1350, ""fr"", ""en"")"),"Size shoes Very good product but shoes too large a size as .Very nice model. Trend and unobtrusive for safety shoes")</f>
        <v>Size shoes Very good product but shoes too large a size as .Very nice model. Trend and unobtrusive for safety shoes</v>
      </c>
    </row>
    <row r="1351">
      <c r="A1351" s="1">
        <v>4.0</v>
      </c>
      <c r="B1351" s="1" t="s">
        <v>1348</v>
      </c>
      <c r="C1351" t="str">
        <f>IFERROR(__xludf.DUMMYFUNCTION("GOOGLETRANSLATE(B1351, ""fr"", ""en"")"),"Notebook to top This is a gift. But I laminated before and I find it very good to learn coloring the little ones. The outline of the design is raised with sequins making it impossible to overtake. It is really great!")</f>
        <v>Notebook to top This is a gift. But I laminated before and I find it very good to learn coloring the little ones. The outline of the design is raised with sequins making it impossible to overtake. It is really great!</v>
      </c>
    </row>
    <row r="1352">
      <c r="A1352" s="1">
        <v>4.0</v>
      </c>
      <c r="B1352" s="1" t="s">
        <v>1349</v>
      </c>
      <c r="C1352" t="str">
        <f>IFERROR(__xludf.DUMMYFUNCTION("GOOGLETRANSLATE(B1352, ""fr"", ""en"")"),"Very good product A quality product, great material, subtly pearly white and inside the stainless steel tank. Programmable temperature scale with 5 degree. Heater fast. After me in defects that do not bother me: 1-The outer paroie is not so isolated we fe"&amp;"el the heat. Not to burn anyway! It is a quality product. I prefer to feel that the wall is hot to avoid burning myself grabbing a bit anyhow when I use it. 2- it beeps but not shrill and rather then short those who do not like the devices bipent ca be an"&amp;"noying especially in the morning 3 - it warms alone and therefore turns on automatically to keep selection of temperature and pdt taine 20 Minutes (ca done 2 times). Not possible to stop it or disconnect the device while")</f>
        <v>Very good product A quality product, great material, subtly pearly white and inside the stainless steel tank. Programmable temperature scale with 5 degree. Heater fast. After me in defects that do not bother me: 1-The outer paroie is not so isolated we feel the heat. Not to burn anyway! It is a quality product. I prefer to feel that the wall is hot to avoid burning myself grabbing a bit anyhow when I use it. 2- it beeps but not shrill and rather then short those who do not like the devices bipent ca be annoying especially in the morning 3 - it warms alone and therefore turns on automatically to keep selection of temperature and pdt taine 20 Minutes (ca done 2 times). Not possible to stop it or disconnect the device while</v>
      </c>
    </row>
    <row r="1353">
      <c r="A1353" s="1">
        <v>5.0</v>
      </c>
      <c r="B1353" s="1" t="s">
        <v>1350</v>
      </c>
      <c r="C1353" t="str">
        <f>IFERROR(__xludf.DUMMYFUNCTION("GOOGLETRANSLATE(B1353, ""fr"", ""en"")"),"Festive atmosphere guaranteed A beautiful gift to offer. The microphone itself and the packaging is impeccable! Well packaged, well protected, beautiful effect! It was a birthday gift for my 6 year old daughter who entertained the whole family. The microp"&amp;"hone is passed into the hands of the young and older. Everyone is hooked! Very easy to use ... It connects the bluetooth or cord. You can use YouTube or other app to sing. We also have the possibility to insert an SD card. Settings are made directly on th"&amp;"e microphone. We can use it as a karaoke biensur, but also to make comments, make fun sound effects, etc ... The sound is impeccable same amazing view over the small microphone that is also very light! The festive atmosphere is guaranteed!")</f>
        <v>Festive atmosphere guaranteed A beautiful gift to offer. The microphone itself and the packaging is impeccable! Well packaged, well protected, beautiful effect! It was a birthday gift for my 6 year old daughter who entertained the whole family. The microphone is passed into the hands of the young and older. Everyone is hooked! Very easy to use ... It connects the bluetooth or cord. You can use YouTube or other app to sing. We also have the possibility to insert an SD card. Settings are made directly on the microphone. We can use it as a karaoke biensur, but also to make comments, make fun sound effects, etc ... The sound is impeccable same amazing view over the small microphone that is also very light! The festive atmosphere is guaranteed!</v>
      </c>
    </row>
    <row r="1354">
      <c r="A1354" s="1">
        <v>5.0</v>
      </c>
      <c r="B1354" s="1" t="s">
        <v>204</v>
      </c>
      <c r="C1354" t="str">
        <f>IFERROR(__xludf.DUMMYFUNCTION("GOOGLETRANSLATE(B1354, ""fr"", ""en"")"),"Top Top")</f>
        <v>Top Top</v>
      </c>
    </row>
    <row r="1355">
      <c r="A1355" s="1">
        <v>5.0</v>
      </c>
      <c r="B1355" s="1" t="s">
        <v>1351</v>
      </c>
      <c r="C1355" t="str">
        <f>IFERROR(__xludf.DUMMYFUNCTION("GOOGLETRANSLATE(B1355, ""fr"", ""en"")"),"C C is super cool thank you with a smile martine")</f>
        <v>C C is super cool thank you with a smile martine</v>
      </c>
    </row>
    <row r="1356">
      <c r="A1356" s="1">
        <v>5.0</v>
      </c>
      <c r="B1356" s="1" t="s">
        <v>1352</v>
      </c>
      <c r="C1356" t="str">
        <f>IFERROR(__xludf.DUMMYFUNCTION("GOOGLETRANSLATE(B1356, ""fr"", ""en"")"),"Are great Top")</f>
        <v>Are great Top</v>
      </c>
    </row>
    <row r="1357">
      <c r="A1357" s="1">
        <v>5.0</v>
      </c>
      <c r="B1357" s="1" t="s">
        <v>1353</v>
      </c>
      <c r="C1357" t="str">
        <f>IFERROR(__xludf.DUMMYFUNCTION("GOOGLETRANSLATE(B1357, ""fr"", ""en"")"),"Top notch! I love it! And my daughter also necessarily very easy to clean unlike other bottle and nipple is really great! I recommend it to all moms or future mother without any hesitation! Yet having 3 children, I tried feeding bottles MAM brand and are "&amp;"really top notch!")</f>
        <v>Top notch! I love it! And my daughter also necessarily very easy to clean unlike other bottle and nipple is really great! I recommend it to all moms or future mother without any hesitation! Yet having 3 children, I tried feeding bottles MAM brand and are really top notch!</v>
      </c>
    </row>
    <row r="1358">
      <c r="A1358" s="1">
        <v>5.0</v>
      </c>
      <c r="B1358" s="1" t="s">
        <v>1354</v>
      </c>
      <c r="C1358" t="str">
        <f>IFERROR(__xludf.DUMMYFUNCTION("GOOGLETRANSLATE(B1358, ""fr"", ""en"")"),"Ras Too good")</f>
        <v>Ras Too good</v>
      </c>
    </row>
    <row r="1359">
      <c r="A1359" s="1">
        <v>5.0</v>
      </c>
      <c r="B1359" s="1" t="s">
        <v>1355</v>
      </c>
      <c r="C1359" t="str">
        <f>IFERROR(__xludf.DUMMYFUNCTION("GOOGLETRANSLATE(B1359, ""fr"", ""en"")"),"happy very happy with these sneakers, no complaints, they last in time and spend washing, unlike many others from stores, I recommend")</f>
        <v>happy very happy with these sneakers, no complaints, they last in time and spend washing, unlike many others from stores, I recommend</v>
      </c>
    </row>
    <row r="1360">
      <c r="A1360" s="1">
        <v>5.0</v>
      </c>
      <c r="B1360" s="1" t="s">
        <v>1356</v>
      </c>
      <c r="C1360" t="str">
        <f>IFERROR(__xludf.DUMMYFUNCTION("GOOGLETRANSLATE(B1360, ""fr"", ""en"")"),"Crocs great product good (to see that) perfect size, I took her 45-46 corresponds perfectly Very good seller and fast delivery recommend")</f>
        <v>Crocs great product good (to see that) perfect size, I took her 45-46 corresponds perfectly Very good seller and fast delivery recommend</v>
      </c>
    </row>
    <row r="1361">
      <c r="A1361" s="1">
        <v>5.0</v>
      </c>
      <c r="B1361" s="1" t="s">
        <v>1357</v>
      </c>
      <c r="C1361" t="str">
        <f>IFERROR(__xludf.DUMMYFUNCTION("GOOGLETRANSLATE(B1361, ""fr"", ""en"")"),"By packaging little treat thank you thank you beautiful earrings")</f>
        <v>By packaging little treat thank you thank you beautiful earrings</v>
      </c>
    </row>
    <row r="1362">
      <c r="A1362" s="1">
        <v>5.0</v>
      </c>
      <c r="B1362" s="1" t="s">
        <v>1358</v>
      </c>
      <c r="C1362" t="str">
        <f>IFERROR(__xludf.DUMMYFUNCTION("GOOGLETRANSLATE(B1362, ""fr"", ""en"")"),"Vans old school Exactly what I asked, sizes as vans provide a size below its usual size.")</f>
        <v>Vans old school Exactly what I asked, sizes as vans provide a size below its usual size.</v>
      </c>
    </row>
    <row r="1363">
      <c r="A1363" s="1">
        <v>5.0</v>
      </c>
      <c r="B1363" s="1" t="s">
        <v>1359</v>
      </c>
      <c r="C1363" t="str">
        <f>IFERROR(__xludf.DUMMYFUNCTION("GOOGLETRANSLATE(B1363, ""fr"", ""en"")"),"Very easy to use Used as a humidifier in the baby room. Okay, nice design.")</f>
        <v>Very easy to use Used as a humidifier in the baby room. Okay, nice design.</v>
      </c>
    </row>
    <row r="1364">
      <c r="A1364" s="1">
        <v>5.0</v>
      </c>
      <c r="B1364" s="1" t="s">
        <v>1360</v>
      </c>
      <c r="C1364" t="str">
        <f>IFERROR(__xludf.DUMMYFUNCTION("GOOGLETRANSLATE(B1364, ""fr"", ""en"")"),"Good product Nickel")</f>
        <v>Good product Nickel</v>
      </c>
    </row>
    <row r="1365">
      <c r="A1365" s="1">
        <v>5.0</v>
      </c>
      <c r="B1365" s="1" t="s">
        <v>1361</v>
      </c>
      <c r="C1365" t="str">
        <f>IFERROR(__xludf.DUMMYFUNCTION("GOOGLETRANSLATE(B1365, ""fr"", ""en"")"),"Perfect Used there are three to a change in phone screen, ease of implementation, and three months after the screen is still in place, the phone works and some of defects appeared. Do not hesitate to put the dose.")</f>
        <v>Perfect Used there are three to a change in phone screen, ease of implementation, and three months after the screen is still in place, the phone works and some of defects appeared. Do not hesitate to put the dose.</v>
      </c>
    </row>
    <row r="1366">
      <c r="A1366" s="1">
        <v>5.0</v>
      </c>
      <c r="B1366" s="1" t="s">
        <v>1362</v>
      </c>
      <c r="C1366" t="str">
        <f>IFERROR(__xludf.DUMMYFUNCTION("GOOGLETRANSLATE(B1366, ""fr"", ""en"")"),"Good headphones cheap A very good value for money. Comfortable with many tips, the sound is very good with good bass present. The highs are well drawn without much pull on the medium. We just regret the lack of an integrated volume control. Delivered in a"&amp;" small bag in imitation leather.")</f>
        <v>Good headphones cheap A very good value for money. Comfortable with many tips, the sound is very good with good bass present. The highs are well drawn without much pull on the medium. We just regret the lack of an integrated volume control. Delivered in a small bag in imitation leather.</v>
      </c>
    </row>
    <row r="1367">
      <c r="A1367" s="1">
        <v>5.0</v>
      </c>
      <c r="B1367" s="1" t="s">
        <v>1363</v>
      </c>
      <c r="C1367" t="str">
        <f>IFERROR(__xludf.DUMMYFUNCTION("GOOGLETRANSLATE(B1367, ""fr"", ""en"")"),"Gommette received in time the package contains two sheets of EVERY colors, great to work with little ones or even have fun")</f>
        <v>Gommette received in time the package contains two sheets of EVERY colors, great to work with little ones or even have fun</v>
      </c>
    </row>
    <row r="1368">
      <c r="A1368" s="1">
        <v>2.0</v>
      </c>
      <c r="B1368" s="1" t="s">
        <v>1364</v>
      </c>
      <c r="C1368" t="str">
        <f>IFERROR(__xludf.DUMMYFUNCTION("GOOGLETRANSLATE(B1368, ""fr"", ""en"")"),"Too small ! € 40 that's expensive. However good side design section is very small. Hardly bigger than a wallet. Basically, to go out in the evening, put his iPhone + a blue card and key it's perfect if not passed your way.")</f>
        <v>Too small ! € 40 that's expensive. However good side design section is very small. Hardly bigger than a wallet. Basically, to go out in the evening, put his iPhone + a blue card and key it's perfect if not passed your way.</v>
      </c>
    </row>
    <row r="1369">
      <c r="A1369" s="1">
        <v>1.0</v>
      </c>
      <c r="B1369" s="1" t="s">
        <v>1365</v>
      </c>
      <c r="C1369" t="str">
        <f>IFERROR(__xludf.DUMMYFUNCTION("GOOGLETRANSLATE(B1369, ""fr"", ""en"")"),"Disappointed. Time is very short I disappointed my life. At first use the pool, the left atrium almost works, the sound becomes very small relative to the right or even inaudible (this creates a sound and even bodily imbalance). Really a pity, because the"&amp;" sound quality was impeccable at first. The microphone does not pick well, I must take the headset near my mouth. Two months later, it works almost. That load for 5 seconds and then the LED turns blue as if the load is complete. Except after about a minut"&amp;"e I get the message ""low battery"" and headphones are extinguished. I can not use them. The life of this product is very short")</f>
        <v>Disappointed. Time is very short I disappointed my life. At first use the pool, the left atrium almost works, the sound becomes very small relative to the right or even inaudible (this creates a sound and even bodily imbalance). Really a pity, because the sound quality was impeccable at first. The microphone does not pick well, I must take the headset near my mouth. Two months later, it works almost. That load for 5 seconds and then the LED turns blue as if the load is complete. Except after about a minute I get the message "low battery" and headphones are extinguished. I can not use them. The life of this product is very short</v>
      </c>
    </row>
    <row r="1370">
      <c r="A1370" s="1">
        <v>1.0</v>
      </c>
      <c r="B1370" s="1" t="s">
        <v>1366</v>
      </c>
      <c r="C1370" t="str">
        <f>IFERROR(__xludf.DUMMYFUNCTION("GOOGLETRANSLATE(B1370, ""fr"", ""en"")"),"rubs the touch of clothing left large traces of brown pants, polo, t-shirt. I had to return the item for that reason")</f>
        <v>rubs the touch of clothing left large traces of brown pants, polo, t-shirt. I had to return the item for that reason</v>
      </c>
    </row>
    <row r="1371">
      <c r="A1371" s="1">
        <v>3.0</v>
      </c>
      <c r="B1371" s="1" t="s">
        <v>1367</v>
      </c>
      <c r="C1371" t="str">
        <f>IFERROR(__xludf.DUMMYFUNCTION("GOOGLETRANSLATE(B1371, ""fr"", ""en"")"),"Slippers sequined slippers strange but comfortable and soft. covered with fiber mesh sequined.")</f>
        <v>Slippers sequined slippers strange but comfortable and soft. covered with fiber mesh sequined.</v>
      </c>
    </row>
    <row r="1372">
      <c r="A1372" s="1">
        <v>3.0</v>
      </c>
      <c r="B1372" s="1" t="s">
        <v>1368</v>
      </c>
      <c r="C1372" t="str">
        <f>IFERROR(__xludf.DUMMYFUNCTION("GOOGLETRANSLATE(B1372, ""fr"", ""en"")"),"Bad From the time that I adhesives 20, 30 cockroaches no nights, there is always the same. Case not follow")</f>
        <v>Bad From the time that I adhesives 20, 30 cockroaches no nights, there is always the same. Case not follow</v>
      </c>
    </row>
    <row r="1373">
      <c r="A1373" s="1">
        <v>4.0</v>
      </c>
      <c r="B1373" s="1" t="s">
        <v>1369</v>
      </c>
      <c r="C1373" t="str">
        <f>IFERROR(__xludf.DUMMYFUNCTION("GOOGLETRANSLATE(B1373, ""fr"", ""en"")"),"Adornment Necklace and earrings beautiful earrings, had its effect on prices.")</f>
        <v>Adornment Necklace and earrings beautiful earrings, had its effect on prices.</v>
      </c>
    </row>
    <row r="1374">
      <c r="A1374" s="1">
        <v>4.0</v>
      </c>
      <c r="B1374" s="1" t="s">
        <v>1370</v>
      </c>
      <c r="C1374" t="str">
        <f>IFERROR(__xludf.DUMMYFUNCTION("GOOGLETRANSLATE(B1374, ""fr"", ""en"")"),"very nice game very funny !! even if sometimes the pen no longer works well !! we laugh with the family drawing game")</f>
        <v>very nice game very funny !! even if sometimes the pen no longer works well !! we laugh with the family drawing game</v>
      </c>
    </row>
    <row r="1375">
      <c r="A1375" s="1">
        <v>4.0</v>
      </c>
      <c r="B1375" s="1" t="s">
        <v>1371</v>
      </c>
      <c r="C1375" t="str">
        <f>IFERROR(__xludf.DUMMYFUNCTION("GOOGLETRANSLATE(B1375, ""fr"", ""en"")"),"Very good buy, I recommend it! Bag of good quality and finishing. Also it seems sturdy, but only time will tell. After several weeks of daily use, very busy, it keeps well. He could have had more small internal pockets for pens, iPod etc.")</f>
        <v>Very good buy, I recommend it! Bag of good quality and finishing. Also it seems sturdy, but only time will tell. After several weeks of daily use, very busy, it keeps well. He could have had more small internal pockets for pens, iPod etc.</v>
      </c>
    </row>
    <row r="1376">
      <c r="A1376" s="1">
        <v>4.0</v>
      </c>
      <c r="B1376" s="1" t="s">
        <v>1372</v>
      </c>
      <c r="C1376" t="str">
        <f>IFERROR(__xludf.DUMMYFUNCTION("GOOGLETRANSLATE(B1376, ""fr"", ""en"")"),"For the deflation of the legs and ankles Muscle contractions in the calves and ankles movements caused by the device cause deflation of the lower limbs. For lack of perspective and analysis, any judgment on the action of the device on osteoarthritis and d"&amp;"iabetes.")</f>
        <v>For the deflation of the legs and ankles Muscle contractions in the calves and ankles movements caused by the device cause deflation of the lower limbs. For lack of perspective and analysis, any judgment on the action of the device on osteoarthritis and diabetes.</v>
      </c>
    </row>
    <row r="1377">
      <c r="A1377" s="1">
        <v>5.0</v>
      </c>
      <c r="B1377" s="1" t="s">
        <v>1373</v>
      </c>
      <c r="C1377" t="str">
        <f>IFERROR(__xludf.DUMMYFUNCTION("GOOGLETRANSLATE(B1377, ""fr"", ""en"")"),"Can be used on a GoPro. At first, I did not know if the micro would exceed and be on top (in the image of the GoPro) and if there was compatibility. I decided I ais buy. I did not know really the difference in sound between the vidéomicgo or smaller. Even"&amp;"tually the microphone is perfect for use that I made. I use the GoPro as the Canon EOS.")</f>
        <v>Can be used on a GoPro. At first, I did not know if the micro would exceed and be on top (in the image of the GoPro) and if there was compatibility. I decided I ais buy. I did not know really the difference in sound between the vidéomicgo or smaller. Eventually the microphone is perfect for use that I made. I use the GoPro as the Canon EOS.</v>
      </c>
    </row>
    <row r="1378">
      <c r="A1378" s="1">
        <v>5.0</v>
      </c>
      <c r="B1378" s="1" t="s">
        <v>1374</v>
      </c>
      <c r="C1378" t="str">
        <f>IFERROR(__xludf.DUMMYFUNCTION("GOOGLETRANSLATE(B1378, ""fr"", ""en"")"),"Very well. Good quality / price largest and longest product as purchased commercially")</f>
        <v>Very well. Good quality / price largest and longest product as purchased commercially</v>
      </c>
    </row>
    <row r="1379">
      <c r="A1379" s="1">
        <v>5.0</v>
      </c>
      <c r="B1379" s="1" t="s">
        <v>1375</v>
      </c>
      <c r="C1379" t="str">
        <f>IFERROR(__xludf.DUMMYFUNCTION("GOOGLETRANSLATE(B1379, ""fr"", ""en"")"),"Produced entirely consistent! Unlike many reviews, this product is fully compliant. It is indeed a System recharge express + so with a hole in the middle to allow the spin ... and happily !!! Just read what is written and to buy a product in line with the"&amp;" basic kit ..............")</f>
        <v>Produced entirely consistent! Unlike many reviews, this product is fully compliant. It is indeed a System recharge express + so with a hole in the middle to allow the spin ... and happily !!! Just read what is written and to buy a product in line with the basic kit ..............</v>
      </c>
    </row>
    <row r="1380">
      <c r="A1380" s="1">
        <v>5.0</v>
      </c>
      <c r="B1380" s="1" t="s">
        <v>1376</v>
      </c>
      <c r="C1380" t="str">
        <f>IFERROR(__xludf.DUMMYFUNCTION("GOOGLETRANSLATE(B1380, ""fr"", ""en"")"),"Beautiful hat Beautiful hat for my teen! It is also pretty gray when blue")</f>
        <v>Beautiful hat Beautiful hat for my teen! It is also pretty gray when blue</v>
      </c>
    </row>
    <row r="1381">
      <c r="A1381" s="1">
        <v>5.0</v>
      </c>
      <c r="B1381" s="1" t="s">
        <v>1377</v>
      </c>
      <c r="C1381" t="str">
        <f>IFERROR(__xludf.DUMMYFUNCTION("GOOGLETRANSLATE(B1381, ""fr"", ""en"")"),"Superb! The delivery is super fast, I received the package 5 days before the scheduled date!. The shoes are beautiful, just as in the description. They actually run small. must be taken well, as advised, one size above its usual size; I put on the 37.5 I "&amp;"took 38 2/3 and that's good. These are fitness shoes at the base, but their finesse and lightness makes them very pleasant to wear everyday.")</f>
        <v>Superb! The delivery is super fast, I received the package 5 days before the scheduled date!. The shoes are beautiful, just as in the description. They actually run small. must be taken well, as advised, one size above its usual size; I put on the 37.5 I took 38 2/3 and that's good. These are fitness shoes at the base, but their finesse and lightness makes them very pleasant to wear everyday.</v>
      </c>
    </row>
    <row r="1382">
      <c r="A1382" s="1">
        <v>5.0</v>
      </c>
      <c r="B1382" s="1" t="s">
        <v>224</v>
      </c>
      <c r="C1382" t="str">
        <f>IFERROR(__xludf.DUMMYFUNCTION("GOOGLETRANSLATE(B1382, ""fr"", ""en"")"),"perfect perfect")</f>
        <v>perfect perfect</v>
      </c>
    </row>
    <row r="1383">
      <c r="A1383" s="1">
        <v>5.0</v>
      </c>
      <c r="B1383" s="1" t="s">
        <v>1378</v>
      </c>
      <c r="C1383" t="str">
        <f>IFERROR(__xludf.DUMMYFUNCTION("GOOGLETRANSLATE(B1383, ""fr"", ""en"")"),"Quality and protection for basketball")</f>
        <v>Quality and protection for basketball</v>
      </c>
    </row>
    <row r="1384">
      <c r="A1384" s="1">
        <v>5.0</v>
      </c>
      <c r="B1384" s="1" t="s">
        <v>1379</v>
      </c>
      <c r="C1384" t="str">
        <f>IFERROR(__xludf.DUMMYFUNCTION("GOOGLETRANSLATE(B1384, ""fr"", ""en"")"),"Massage very happy feet of this device that can do you good to foot thanks to its multiple functions the heating function really makes a difference because it really feels good sitting in the back of his chair and change function with its remote and this "&amp;"pleases the device is designated and the covers are washable feet in order to have multiple users")</f>
        <v>Massage very happy feet of this device that can do you good to foot thanks to its multiple functions the heating function really makes a difference because it really feels good sitting in the back of his chair and change function with its remote and this pleases the device is designated and the covers are washable feet in order to have multiple users</v>
      </c>
    </row>
    <row r="1385">
      <c r="A1385" s="1">
        <v>5.0</v>
      </c>
      <c r="B1385" s="1" t="s">
        <v>1380</v>
      </c>
      <c r="C1385" t="str">
        <f>IFERROR(__xludf.DUMMYFUNCTION("GOOGLETRANSLATE(B1385, ""fr"", ""en"")"),"Top Shop with the offer basket € 3 more room, nickel for reception delays. This product is really great, I only chicken leg for now, they are tender has desire cooked ... plus qyasi no dinner a time saver!")</f>
        <v>Top Shop with the offer basket € 3 more room, nickel for reception delays. This product is really great, I only chicken leg for now, they are tender has desire cooked ... plus qyasi no dinner a time saver!</v>
      </c>
    </row>
    <row r="1386">
      <c r="A1386" s="1">
        <v>5.0</v>
      </c>
      <c r="B1386" s="1" t="s">
        <v>1381</v>
      </c>
      <c r="C1386" t="str">
        <f>IFERROR(__xludf.DUMMYFUNCTION("GOOGLETRANSLATE(B1386, ""fr"", ""en"")"),"Perfect, safe bet Delivered quickly, they are the only bottles that my daughter takes and they are perfect. Neutral color and patterns rather cute.")</f>
        <v>Perfect, safe bet Delivered quickly, they are the only bottles that my daughter takes and they are perfect. Neutral color and patterns rather cute.</v>
      </c>
    </row>
    <row r="1387">
      <c r="A1387" s="1">
        <v>5.0</v>
      </c>
      <c r="B1387" s="1" t="s">
        <v>1382</v>
      </c>
      <c r="C1387" t="str">
        <f>IFERROR(__xludf.DUMMYFUNCTION("GOOGLETRANSLATE(B1387, ""fr"", ""en"")"),"VERY GOOD PRODUCT great white sheets and good thickness. Well dressed.")</f>
        <v>VERY GOOD PRODUCT great white sheets and good thickness. Well dressed.</v>
      </c>
    </row>
    <row r="1388">
      <c r="A1388" s="1">
        <v>5.0</v>
      </c>
      <c r="B1388" s="1" t="s">
        <v>1383</v>
      </c>
      <c r="C1388" t="str">
        <f>IFERROR(__xludf.DUMMYFUNCTION("GOOGLETRANSLATE(B1388, ""fr"", ""en"")"),"WELL RAS received quickly. A Nike shirt light and comfortable.")</f>
        <v>WELL RAS received quickly. A Nike shirt light and comfortable.</v>
      </c>
    </row>
    <row r="1389">
      <c r="A1389" s="1">
        <v>5.0</v>
      </c>
      <c r="B1389" s="1" t="s">
        <v>1384</v>
      </c>
      <c r="C1389" t="str">
        <f>IFERROR(__xludf.DUMMYFUNCTION("GOOGLETRANSLATE(B1389, ""fr"", ""en"")"),"Top As picture and hope it takes it!")</f>
        <v>Top As picture and hope it takes it!</v>
      </c>
    </row>
    <row r="1390">
      <c r="A1390" s="1">
        <v>5.0</v>
      </c>
      <c r="B1390" s="1" t="s">
        <v>1385</v>
      </c>
      <c r="C1390" t="str">
        <f>IFERROR(__xludf.DUMMYFUNCTION("GOOGLETRANSLATE(B1390, ""fr"", ""en"")"),"Perfect transaction. Having clippings particular problems with the RS 120, I contacted Seinnheiser the service and I was fortunate to have a knowledgeable correspondent who helped me choose the headset to suit my needs as well as accessories recommended. "&amp;"Since the purchase and installation of the RS 175 I do not have any problems.")</f>
        <v>Perfect transaction. Having clippings particular problems with the RS 120, I contacted Seinnheiser the service and I was fortunate to have a knowledgeable correspondent who helped me choose the headset to suit my needs as well as accessories recommended. Since the purchase and installation of the RS 175 I do not have any problems.</v>
      </c>
    </row>
    <row r="1391">
      <c r="A1391" s="1">
        <v>5.0</v>
      </c>
      <c r="B1391" s="1" t="s">
        <v>1386</v>
      </c>
      <c r="C1391" t="str">
        <f>IFERROR(__xludf.DUMMYFUNCTION("GOOGLETRANSLATE(B1391, ""fr"", ""en"")"),"Arrived quickly and very good quality. Very satisfied. I recommend. Arrived quickly and very good quality. Very satisfied. I recommend.")</f>
        <v>Arrived quickly and very good quality. Very satisfied. I recommend. Arrived quickly and very good quality. Very satisfied. I recommend.</v>
      </c>
    </row>
    <row r="1392">
      <c r="A1392" s="1">
        <v>2.0</v>
      </c>
      <c r="B1392" s="1" t="s">
        <v>1387</v>
      </c>
      <c r="C1392" t="str">
        <f>IFERROR(__xludf.DUMMYFUNCTION("GOOGLETRANSLATE(B1392, ""fr"", ""en"")"),"cheap finish ... Although less pretty in real life than on the photo. Small size, finish and very cheap ... At the same time considering the price ... On correctly.")</f>
        <v>cheap finish ... Although less pretty in real life than on the photo. Small size, finish and very cheap ... At the same time considering the price ... On correctly.</v>
      </c>
    </row>
    <row r="1393">
      <c r="A1393" s="1">
        <v>1.0</v>
      </c>
      <c r="B1393" s="1" t="s">
        <v>1388</v>
      </c>
      <c r="C1393" t="str">
        <f>IFERROR(__xludf.DUMMYFUNCTION("GOOGLETRANSLATE(B1393, ""fr"", ""en"")"),"EarPods left EarPods left does not work does not work")</f>
        <v>EarPods left EarPods left does not work does not work</v>
      </c>
    </row>
    <row r="1394">
      <c r="A1394" s="1">
        <v>1.0</v>
      </c>
      <c r="B1394" s="1" t="s">
        <v>1389</v>
      </c>
      <c r="C1394" t="str">
        <f>IFERROR(__xludf.DUMMYFUNCTION("GOOGLETRANSLATE(B1394, ""fr"", ""en"")"),"It takes me 41.5 It hurts my feet")</f>
        <v>It takes me 41.5 It hurts my feet</v>
      </c>
    </row>
    <row r="1395">
      <c r="A1395" s="1">
        <v>3.0</v>
      </c>
      <c r="B1395" s="1" t="s">
        <v>1390</v>
      </c>
      <c r="C1395" t="str">
        <f>IFERROR(__xludf.DUMMYFUNCTION("GOOGLETRANSLATE(B1395, ""fr"", ""en"")"),"See Article in appearance of fine quality enough, but we must see to use. NC / medium practice. Leather truly brilliant. Expect after some time of use.")</f>
        <v>See Article in appearance of fine quality enough, but we must see to use. NC / medium practice. Leather truly brilliant. Expect after some time of use.</v>
      </c>
    </row>
    <row r="1396">
      <c r="A1396" s="1">
        <v>4.0</v>
      </c>
      <c r="B1396" s="1" t="s">
        <v>1391</v>
      </c>
      <c r="C1396" t="str">
        <f>IFERROR(__xludf.DUMMYFUNCTION("GOOGLETRANSLATE(B1396, ""fr"", ""en"")"),"This little sleeveless dress was of dress is beautiful and well cut. color and printed patterns much like my mother. I recommend this purchase")</f>
        <v>This little sleeveless dress was of dress is beautiful and well cut. color and printed patterns much like my mother. I recommend this purchase</v>
      </c>
    </row>
    <row r="1397">
      <c r="A1397" s="1">
        <v>4.0</v>
      </c>
      <c r="B1397" s="1" t="s">
        <v>1392</v>
      </c>
      <c r="C1397" t="str">
        <f>IFERROR(__xludf.DUMMYFUNCTION("GOOGLETRANSLATE(B1397, ""fr"", ""en"")"),"toaster toasting bread for my breakfast.")</f>
        <v>toaster toasting bread for my breakfast.</v>
      </c>
    </row>
    <row r="1398">
      <c r="A1398" s="1">
        <v>4.0</v>
      </c>
      <c r="B1398" s="1" t="s">
        <v>1393</v>
      </c>
      <c r="C1398" t="str">
        <f>IFERROR(__xludf.DUMMYFUNCTION("GOOGLETRANSLATE(B1398, ""fr"", ""en"")"),"The kettle is mixed but is still a bit noisy, especially the power cable is a bit short")</f>
        <v>The kettle is mixed but is still a bit noisy, especially the power cable is a bit short</v>
      </c>
    </row>
    <row r="1399">
      <c r="A1399" s="1">
        <v>4.0</v>
      </c>
      <c r="B1399" s="1" t="s">
        <v>1394</v>
      </c>
      <c r="C1399" t="str">
        <f>IFERROR(__xludf.DUMMYFUNCTION("GOOGLETRANSLATE(B1399, ""fr"", ""en"")"),"Although Good value")</f>
        <v>Although Good value</v>
      </c>
    </row>
    <row r="1400">
      <c r="A1400" s="1">
        <v>5.0</v>
      </c>
      <c r="B1400" s="1" t="s">
        <v>1395</v>
      </c>
      <c r="C1400" t="str">
        <f>IFERROR(__xludf.DUMMYFUNCTION("GOOGLETRANSLATE(B1400, ""fr"", ""en"")"),"Economical, efficient and quality I use this mask for my oily skin and regulate sebum production. My advice: apply 3 times weekly in attack phase and maintenance 1 / week. The most natural remedy to clean her skin! :-) Great deal...")</f>
        <v>Economical, efficient and quality I use this mask for my oily skin and regulate sebum production. My advice: apply 3 times weekly in attack phase and maintenance 1 / week. The most natural remedy to clean her skin! :-) Great deal...</v>
      </c>
    </row>
    <row r="1401">
      <c r="A1401" s="1">
        <v>5.0</v>
      </c>
      <c r="B1401" s="1" t="s">
        <v>1396</v>
      </c>
      <c r="C1401" t="str">
        <f>IFERROR(__xludf.DUMMYFUNCTION("GOOGLETRANSLATE(B1401, ""fr"", ""en"")"),"RAS The product is quality and corresponds to what I expected.")</f>
        <v>RAS The product is quality and corresponds to what I expected.</v>
      </c>
    </row>
    <row r="1402">
      <c r="A1402" s="1">
        <v>5.0</v>
      </c>
      <c r="B1402" s="1" t="s">
        <v>1397</v>
      </c>
      <c r="C1402" t="str">
        <f>IFERROR(__xludf.DUMMYFUNCTION("GOOGLETRANSLATE(B1402, ""fr"", ""en"")"),"feet warm I always cold feet and am often at the computer so I saw these slippers and told myself that it was ideal. indeed, it is effective: my feet warm even without socks. they are not made for walking because they are unstable, but it's the best when "&amp;"you sit or that one only a few steps you .I recommend them")</f>
        <v>feet warm I always cold feet and am often at the computer so I saw these slippers and told myself that it was ideal. indeed, it is effective: my feet warm even without socks. they are not made for walking because they are unstable, but it's the best when you sit or that one only a few steps you .I recommend them</v>
      </c>
    </row>
    <row r="1403">
      <c r="A1403" s="1">
        <v>5.0</v>
      </c>
      <c r="B1403" s="1" t="s">
        <v>1398</v>
      </c>
      <c r="C1403" t="str">
        <f>IFERROR(__xludf.DUMMYFUNCTION("GOOGLETRANSLATE(B1403, ""fr"", ""en"")"),"Economic For cleaning terrace and others. Very powerful the top. Ultra eco since concentrated.")</f>
        <v>Economic For cleaning terrace and others. Very powerful the top. Ultra eco since concentrated.</v>
      </c>
    </row>
    <row r="1404">
      <c r="A1404" s="1">
        <v>5.0</v>
      </c>
      <c r="B1404" s="1" t="s">
        <v>1399</v>
      </c>
      <c r="C1404" t="str">
        <f>IFERROR(__xludf.DUMMYFUNCTION("GOOGLETRANSLATE(B1404, ""fr"", ""en"")"),"Pretty Well just a bit too high")</f>
        <v>Pretty Well just a bit too high</v>
      </c>
    </row>
    <row r="1405">
      <c r="A1405" s="1">
        <v>5.0</v>
      </c>
      <c r="B1405" s="1" t="s">
        <v>1400</v>
      </c>
      <c r="C1405" t="str">
        <f>IFERROR(__xludf.DUMMYFUNCTION("GOOGLETRANSLATE(B1405, ""fr"", ""en"")"),"Just perfect. Superb watch it very light, solar charging works well and the radio-controlled setting is just perfect! Always watch well regulated and more battery change that happiness!")</f>
        <v>Just perfect. Superb watch it very light, solar charging works well and the radio-controlled setting is just perfect! Always watch well regulated and more battery change that happiness!</v>
      </c>
    </row>
    <row r="1406">
      <c r="A1406" s="1">
        <v>5.0</v>
      </c>
      <c r="B1406" s="1" t="s">
        <v>1401</v>
      </c>
      <c r="C1406" t="str">
        <f>IFERROR(__xludf.DUMMYFUNCTION("GOOGLETRANSLATE(B1406, ""fr"", ""en"")"),"This laundry detergent smells really good")</f>
        <v>This laundry detergent smells really good</v>
      </c>
    </row>
    <row r="1407">
      <c r="A1407" s="1">
        <v>5.0</v>
      </c>
      <c r="B1407" s="1" t="s">
        <v>1402</v>
      </c>
      <c r="C1407" t="str">
        <f>IFERROR(__xludf.DUMMYFUNCTION("GOOGLETRANSLATE(B1407, ""fr"", ""en"")"),"I recommend very surprise the quality of the product. The sound is pretty good. The Bluetooth connection is easy and works very well. Possibility of an SD card directly into the helmet which is very appreciable. All very well packaged and delivered quickl"&amp;"y")</f>
        <v>I recommend very surprise the quality of the product. The sound is pretty good. The Bluetooth connection is easy and works very well. Possibility of an SD card directly into the helmet which is very appreciable. All very well packaged and delivered quickly</v>
      </c>
    </row>
    <row r="1408">
      <c r="A1408" s="1">
        <v>5.0</v>
      </c>
      <c r="B1408" s="1" t="s">
        <v>1403</v>
      </c>
      <c r="C1408" t="str">
        <f>IFERROR(__xludf.DUMMYFUNCTION("GOOGLETRANSLATE(B1408, ""fr"", ""en"")"),"The article description Very good product!")</f>
        <v>The article description Very good product!</v>
      </c>
    </row>
    <row r="1409">
      <c r="A1409" s="1">
        <v>5.0</v>
      </c>
      <c r="B1409" s="1" t="s">
        <v>1404</v>
      </c>
      <c r="C1409" t="str">
        <f>IFERROR(__xludf.DUMMYFUNCTION("GOOGLETRANSLATE(B1409, ""fr"", ""en"")"),"Nothing to say ... except that these socks are very comfortable to wear, very comfortable and carve well. In summary, very good, to recommend.")</f>
        <v>Nothing to say ... except that these socks are very comfortable to wear, very comfortable and carve well. In summary, very good, to recommend.</v>
      </c>
    </row>
    <row r="1410">
      <c r="A1410" s="1">
        <v>5.0</v>
      </c>
      <c r="B1410" s="1" t="s">
        <v>1405</v>
      </c>
      <c r="C1410" t="str">
        <f>IFERROR(__xludf.DUMMYFUNCTION("GOOGLETRANSLATE(B1410, ""fr"", ""en"")"),"No Meets unused. To see in time.")</f>
        <v>No Meets unused. To see in time.</v>
      </c>
    </row>
    <row r="1411">
      <c r="A1411" s="1">
        <v>5.0</v>
      </c>
      <c r="B1411" s="1" t="s">
        <v>1406</v>
      </c>
      <c r="C1411" t="str">
        <f>IFERROR(__xludf.DUMMYFUNCTION("GOOGLETRANSLATE(B1411, ""fr"", ""en"")"),"Comfort and comfortable relaxation and good quality")</f>
        <v>Comfort and comfortable relaxation and good quality</v>
      </c>
    </row>
    <row r="1412">
      <c r="A1412" s="1">
        <v>5.0</v>
      </c>
      <c r="B1412" s="1" t="s">
        <v>1407</v>
      </c>
      <c r="C1412" t="str">
        <f>IFERROR(__xludf.DUMMYFUNCTION("GOOGLETRANSLATE(B1412, ""fr"", ""en"")"),"Okay Cool")</f>
        <v>Okay Cool</v>
      </c>
    </row>
    <row r="1413">
      <c r="A1413" s="1">
        <v>5.0</v>
      </c>
      <c r="B1413" s="1" t="s">
        <v>1408</v>
      </c>
      <c r="C1413" t="str">
        <f>IFERROR(__xludf.DUMMYFUNCTION("GOOGLETRANSLATE(B1413, ""fr"", ""en"")"),"Sobriety is a watch that fits very well to the description on the site. Watch sober, well finished, very classic but very ""class"". Sending parcels fast and well packaged.")</f>
        <v>Sobriety is a watch that fits very well to the description on the site. Watch sober, well finished, very classic but very "class". Sending parcels fast and well packaged.</v>
      </c>
    </row>
    <row r="1414">
      <c r="A1414" s="1">
        <v>5.0</v>
      </c>
      <c r="B1414" s="1" t="s">
        <v>1409</v>
      </c>
      <c r="C1414" t="str">
        <f>IFERROR(__xludf.DUMMYFUNCTION("GOOGLETRANSLATE(B1414, ""fr"", ""en"")"),"Real stones. Beautiful bill. Nice rendering. Happy! (Mixed size, focus small wrists) Shipping in advance. Real stones. Beautiful bill. Nice rendering. Happy! (Mixed size, focus small wrists)")</f>
        <v>Real stones. Beautiful bill. Nice rendering. Happy! (Mixed size, focus small wrists) Shipping in advance. Real stones. Beautiful bill. Nice rendering. Happy! (Mixed size, focus small wrists)</v>
      </c>
    </row>
    <row r="1415">
      <c r="A1415" s="1">
        <v>2.0</v>
      </c>
      <c r="B1415" s="1" t="s">
        <v>1410</v>
      </c>
      <c r="C1415" t="str">
        <f>IFERROR(__xludf.DUMMYFUNCTION("GOOGLETRANSLATE(B1415, ""fr"", ""en"")"),"Dissatisfied For back pain and neck, not at all satisfied, it does not feel anything with the pins of the mat,")</f>
        <v>Dissatisfied For back pain and neck, not at all satisfied, it does not feel anything with the pins of the mat,</v>
      </c>
    </row>
    <row r="1416">
      <c r="A1416" s="1">
        <v>1.0</v>
      </c>
      <c r="B1416" s="1" t="s">
        <v>1411</v>
      </c>
      <c r="C1416" t="str">
        <f>IFERROR(__xludf.DUMMYFUNCTION("GOOGLETRANSLATE(B1416, ""fr"", ""en"")"),"Coffee Luna This product has never worked! Display ""&amp; nbsp; &amp; nbsp error 02;""!")</f>
        <v>Coffee Luna This product has never worked! Display "&amp; nbsp; &amp; nbsp error 02;"!</v>
      </c>
    </row>
    <row r="1417">
      <c r="A1417" s="1">
        <v>3.0</v>
      </c>
      <c r="B1417" s="1" t="s">
        <v>1412</v>
      </c>
      <c r="C1417" t="str">
        <f>IFERROR(__xludf.DUMMYFUNCTION("GOOGLETRANSLATE(B1417, ""fr"", ""en"")"),"No size shoes I adapted a little 38 and then they had a 37/38. Unfortunately the size is too small. Not nice when you have feet that exceeds")</f>
        <v>No size shoes I adapted a little 38 and then they had a 37/38. Unfortunately the size is too small. Not nice when you have feet that exceeds</v>
      </c>
    </row>
    <row r="1418">
      <c r="A1418" s="1">
        <v>3.0</v>
      </c>
      <c r="B1418" s="1" t="s">
        <v>1413</v>
      </c>
      <c r="C1418" t="str">
        <f>IFERROR(__xludf.DUMMYFUNCTION("GOOGLETRANSLATE(B1418, ""fr"", ""en"")"),"One can Flees disappointed a bit.")</f>
        <v>One can Flees disappointed a bit.</v>
      </c>
    </row>
    <row r="1419">
      <c r="A1419" s="1">
        <v>4.0</v>
      </c>
      <c r="B1419" s="1" t="s">
        <v>1414</v>
      </c>
      <c r="C1419" t="str">
        <f>IFERROR(__xludf.DUMMYFUNCTION("GOOGLETRANSLATE(B1419, ""fr"", ""en"")"),"Although no complaints. Very convenient.")</f>
        <v>Although no complaints. Very convenient.</v>
      </c>
    </row>
    <row r="1420">
      <c r="A1420" s="1">
        <v>4.0</v>
      </c>
      <c r="B1420" s="1" t="s">
        <v>1415</v>
      </c>
      <c r="C1420" t="str">
        <f>IFERROR(__xludf.DUMMYFUNCTION("GOOGLETRANSLATE(B1420, ""fr"", ""en"")"),"Personal bag")</f>
        <v>Personal bag</v>
      </c>
    </row>
    <row r="1421">
      <c r="A1421" s="1">
        <v>4.0</v>
      </c>
      <c r="B1421" s="1" t="s">
        <v>1416</v>
      </c>
      <c r="C1421" t="str">
        <f>IFERROR(__xludf.DUMMYFUNCTION("GOOGLETRANSLATE(B1421, ""fr"", ""en"")"),"Beautiful shoes His shoes m accompanied many years was my second pair c j loved the burgundy color. At the end of a certain time and after intensive use the sole started to detach and s user to the point that a hole is formed and render unusable; nothing "&amp;"abnormal for shoes like that after a while. I still recommend.")</f>
        <v>Beautiful shoes His shoes m accompanied many years was my second pair c j loved the burgundy color. At the end of a certain time and after intensive use the sole started to detach and s user to the point that a hole is formed and render unusable; nothing abnormal for shoes like that after a while. I still recommend.</v>
      </c>
    </row>
    <row r="1422">
      <c r="A1422" s="1">
        <v>4.0</v>
      </c>
      <c r="B1422" s="1" t="s">
        <v>1417</v>
      </c>
      <c r="C1422" t="str">
        <f>IFERROR(__xludf.DUMMYFUNCTION("GOOGLETRANSLATE(B1422, ""fr"", ""en"")"),"ras ras")</f>
        <v>ras ras</v>
      </c>
    </row>
    <row r="1423">
      <c r="A1423" s="1">
        <v>5.0</v>
      </c>
      <c r="B1423" s="1" t="s">
        <v>1418</v>
      </c>
      <c r="C1423" t="str">
        <f>IFERROR(__xludf.DUMMYFUNCTION("GOOGLETRANSLATE(B1423, ""fr"", ""en"")"),"Very convenient. Together handy this product. I highly recommend .")</f>
        <v>Very convenient. Together handy this product. I highly recommend .</v>
      </c>
    </row>
    <row r="1424">
      <c r="A1424" s="1">
        <v>5.0</v>
      </c>
      <c r="B1424" s="1" t="s">
        <v>1419</v>
      </c>
      <c r="C1424" t="str">
        <f>IFERROR(__xludf.DUMMYFUNCTION("GOOGLETRANSLATE(B1424, ""fr"", ""en"")"),"Perfect Item arrived and unpacked = everything seems perfect and it suits me perfectly for the price. Still not used because the 4 month old baby arrives late July.")</f>
        <v>Perfect Item arrived and unpacked = everything seems perfect and it suits me perfectly for the price. Still not used because the 4 month old baby arrives late July.</v>
      </c>
    </row>
    <row r="1425">
      <c r="A1425" s="1">
        <v>5.0</v>
      </c>
      <c r="B1425" s="1" t="s">
        <v>1420</v>
      </c>
      <c r="C1425" t="str">
        <f>IFERROR(__xludf.DUMMYFUNCTION("GOOGLETRANSLATE(B1425, ""fr"", ""en"")"),"Super Super kettle for tea lovers! You can adjust the temperature. It is very quiet and pretty. Happy with my purchase.")</f>
        <v>Super Super kettle for tea lovers! You can adjust the temperature. It is very quiet and pretty. Happy with my purchase.</v>
      </c>
    </row>
    <row r="1426">
      <c r="A1426" s="1">
        <v>5.0</v>
      </c>
      <c r="B1426" s="1" t="s">
        <v>1421</v>
      </c>
      <c r="C1426" t="str">
        <f>IFERROR(__xludf.DUMMYFUNCTION("GOOGLETRANSLATE(B1426, ""fr"", ""en"")"),"Small bag Eastpak Exactly what I wanted to convey my PHABLET Asus Zenfone 2 is very well protected. I add different accessories: handsfree, charging cable to the socket ...")</f>
        <v>Small bag Eastpak Exactly what I wanted to convey my PHABLET Asus Zenfone 2 is very well protected. I add different accessories: handsfree, charging cable to the socket ...</v>
      </c>
    </row>
    <row r="1427">
      <c r="A1427" s="1">
        <v>5.0</v>
      </c>
      <c r="B1427" s="1" t="s">
        <v>1422</v>
      </c>
      <c r="C1427" t="str">
        <f>IFERROR(__xludf.DUMMYFUNCTION("GOOGLETRANSLATE(B1427, ""fr"", ""en"")"),"Very satisfied Kettle waited for more in stock for several months, but very happy to have been able to order it! The only for induction hob with a modern design that does not look bad! very fast heating times, whistles although not hot handle! I recommend"&amp;" !")</f>
        <v>Very satisfied Kettle waited for more in stock for several months, but very happy to have been able to order it! The only for induction hob with a modern design that does not look bad! very fast heating times, whistles although not hot handle! I recommend !</v>
      </c>
    </row>
    <row r="1428">
      <c r="A1428" s="1">
        <v>5.0</v>
      </c>
      <c r="B1428" s="1" t="s">
        <v>1423</v>
      </c>
      <c r="C1428" t="str">
        <f>IFERROR(__xludf.DUMMYFUNCTION("GOOGLETRANSLATE(B1428, ""fr"", ""en"")"),"Beautiful watch - very good price / quality daily use. Look worthy of a great brand of watch.")</f>
        <v>Beautiful watch - very good price / quality daily use. Look worthy of a great brand of watch.</v>
      </c>
    </row>
    <row r="1429">
      <c r="A1429" s="1">
        <v>5.0</v>
      </c>
      <c r="B1429" s="1" t="s">
        <v>1424</v>
      </c>
      <c r="C1429" t="str">
        <f>IFERROR(__xludf.DUMMYFUNCTION("GOOGLETRANSLATE(B1429, ""fr"", ""en"")"),"great shoes !!! real slippers, excellent product")</f>
        <v>great shoes !!! real slippers, excellent product</v>
      </c>
    </row>
    <row r="1430">
      <c r="A1430" s="1">
        <v>5.0</v>
      </c>
      <c r="B1430" s="1" t="s">
        <v>1425</v>
      </c>
      <c r="C1430" t="str">
        <f>IFERROR(__xludf.DUMMYFUNCTION("GOOGLETRANSLATE(B1430, ""fr"", ""en"")"),"Replace the broom !! &lt;Div id = ""video-block-R34WYXOFQZ4VQN"" class = ""a-section-spacing-small in-spacing-top mini video-block""&gt; &lt;/ div&gt; &lt;input type = ""hidden"" name = """" value = ""https://images-eu.ssl-images-amazon.com/images/I/81j5YkGzIOS.mp4"" cl"&amp;"ass = ""video-url""&gt; &lt;input type = ""hidden"" name = """" value = ""https: //images-eu.ssl-images-amazon.com/images/I/81j-7qPkgcS.png ""class ="" video-slate-img-url ""&gt; &amp; nbsp; handy vacuum cleaner, it completely replaces the broom, very handy it sucks w"&amp;"ell and he has a rather nice design! The small vacuum cleaner is also super easy to use for cleaning cars!")</f>
        <v>Replace the broom !! &lt;Div id = "video-block-R34WYXOFQZ4VQN" class = "a-section-spacing-small in-spacing-top mini video-block"&gt; &lt;/ div&gt; &lt;input type = "hidden" name = "" value = "https://images-eu.ssl-images-amazon.com/images/I/81j5YkGzIOS.mp4" class = "video-url"&gt; &lt;input type = "hidden" name = "" value = "https: //images-eu.ssl-images-amazon.com/images/I/81j-7qPkgcS.png "class =" video-slate-img-url "&gt; &amp; nbsp; handy vacuum cleaner, it completely replaces the broom, very handy it sucks well and he has a rather nice design! The small vacuum cleaner is also super easy to use for cleaning cars!</v>
      </c>
    </row>
    <row r="1431">
      <c r="A1431" s="1">
        <v>5.0</v>
      </c>
      <c r="B1431" s="1" t="s">
        <v>1426</v>
      </c>
      <c r="C1431" t="str">
        <f>IFERROR(__xludf.DUMMYFUNCTION("GOOGLETRANSLATE(B1431, ""fr"", ""en"")"),"Protection provided. Article satisfying. Protected fragile parts move. Very satisfied.")</f>
        <v>Protection provided. Article satisfying. Protected fragile parts move. Very satisfied.</v>
      </c>
    </row>
    <row r="1432">
      <c r="A1432" s="1">
        <v>5.0</v>
      </c>
      <c r="B1432" s="1" t="s">
        <v>1427</v>
      </c>
      <c r="C1432" t="str">
        <f>IFERROR(__xludf.DUMMYFUNCTION("GOOGLETRANSLATE(B1432, ""fr"", ""en"")"),"Great! To me it's really practical, pretty and great thanks")</f>
        <v>Great! To me it's really practical, pretty and great thanks</v>
      </c>
    </row>
    <row r="1433">
      <c r="A1433" s="1">
        <v>5.0</v>
      </c>
      <c r="B1433" s="1" t="s">
        <v>1428</v>
      </c>
      <c r="C1433" t="str">
        <f>IFERROR(__xludf.DUMMYFUNCTION("GOOGLETRANSLATE(B1433, ""fr"", ""en"")"),"The heat causes the relaxation I use the heating pad to relax down my spine because I have back problems. I use it every day and it's very calm my pain. I am very satisfied.")</f>
        <v>The heat causes the relaxation I use the heating pad to relax down my spine because I have back problems. I use it every day and it's very calm my pain. I am very satisfied.</v>
      </c>
    </row>
    <row r="1434">
      <c r="A1434" s="1">
        <v>5.0</v>
      </c>
      <c r="B1434" s="1" t="s">
        <v>1429</v>
      </c>
      <c r="C1434" t="str">
        <f>IFERROR(__xludf.DUMMYFUNCTION("GOOGLETRANSLATE(B1434, ""fr"", ""en"")"),"The timeless timeless sneakers, a model to look simple but still successful. The quality is quite good for this type of product, and comfort level no complaints! Regarding the size, they carve entirely fair. Take your exact size.")</f>
        <v>The timeless timeless sneakers, a model to look simple but still successful. The quality is quite good for this type of product, and comfort level no complaints! Regarding the size, they carve entirely fair. Take your exact size.</v>
      </c>
    </row>
    <row r="1435">
      <c r="A1435" s="1">
        <v>5.0</v>
      </c>
      <c r="B1435" s="1" t="s">
        <v>1430</v>
      </c>
      <c r="C1435" t="str">
        <f>IFERROR(__xludf.DUMMYFUNCTION("GOOGLETRANSLATE(B1435, ""fr"", ""en"")"),"Perfect for a lower budget than qc35 Bose home! imercif Headset sensations in 360! The sound without noise reduction is already very good but when you put music means nothing except the music that is very good with a good listening experience! Remains the"&amp;" setting has pofiner! I appreciate being able to disable the noise reduction! Missing is the touch buttons! Despite the sound, we still hear some sound environment!")</f>
        <v>Perfect for a lower budget than qc35 Bose home! imercif Headset sensations in 360! The sound without noise reduction is already very good but when you put music means nothing except the music that is very good with a good listening experience! Remains the setting has pofiner! I appreciate being able to disable the noise reduction! Missing is the touch buttons! Despite the sound, we still hear some sound environment!</v>
      </c>
    </row>
    <row r="1436">
      <c r="A1436" s="1">
        <v>5.0</v>
      </c>
      <c r="B1436" s="1" t="s">
        <v>1431</v>
      </c>
      <c r="C1436" t="str">
        <f>IFERROR(__xludf.DUMMYFUNCTION("GOOGLETRANSLATE(B1436, ""fr"", ""en"")"),"perfect working properly and fast delivery time")</f>
        <v>perfect working properly and fast delivery time</v>
      </c>
    </row>
    <row r="1437">
      <c r="A1437" s="1">
        <v>5.0</v>
      </c>
      <c r="B1437" s="1" t="s">
        <v>1432</v>
      </c>
      <c r="C1437" t="str">
        <f>IFERROR(__xludf.DUMMYFUNCTION("GOOGLETRANSLATE(B1437, ""fr"", ""en"")"),"ECOURTEURS WIRELESS SMART TV Excellent. Connects very easily. The transmitter switches on immediately using the USB cable and optical cable for me on a Smart TV. Headphones very light immediately recognized Bluetooth (blue LED emitter and receiver earphon"&amp;"e cable). Mute the TV remote control (mute). The sound is clear. The sound is not as good as a traditional stereo headphones but avoids the weight and heat of the ear. For people wearing glasses is an advantage. Many cable connections and very good packag"&amp;"ing. I've offered to a person who is delighted.")</f>
        <v>ECOURTEURS WIRELESS SMART TV Excellent. Connects very easily. The transmitter switches on immediately using the USB cable and optical cable for me on a Smart TV. Headphones very light immediately recognized Bluetooth (blue LED emitter and receiver earphone cable). Mute the TV remote control (mute). The sound is clear. The sound is not as good as a traditional stereo headphones but avoids the weight and heat of the ear. For people wearing glasses is an advantage. Many cable connections and very good packaging. I've offered to a person who is delighted.</v>
      </c>
    </row>
    <row r="1438">
      <c r="A1438" s="1">
        <v>2.0</v>
      </c>
      <c r="B1438" s="1" t="s">
        <v>1433</v>
      </c>
      <c r="C1438" t="str">
        <f>IFERROR(__xludf.DUMMYFUNCTION("GOOGLETRANSLATE(B1438, ""fr"", ""en"")"),"Quite Satisfied")</f>
        <v>Quite Satisfied</v>
      </c>
    </row>
    <row r="1439">
      <c r="A1439" s="1">
        <v>1.0</v>
      </c>
      <c r="B1439" s="1" t="s">
        <v>1434</v>
      </c>
      <c r="C1439" t="str">
        <f>IFERROR(__xludf.DUMMYFUNCTION("GOOGLETRANSLATE(B1439, ""fr"", ""en"")"),"Not terrible, not yours 😠 after a 4 day all my pictures we finally land and putting still 4 tab by tables on the pack until 7kg 😕 said the mine weighs no more than 360g I am really disappointed product and obviously because I hung its going to be compli"&amp;"cated to do so pay money wasted")</f>
        <v>Not terrible, not yours 😠 after a 4 day all my pictures we finally land and putting still 4 tab by tables on the pack until 7kg 😕 said the mine weighs no more than 360g I am really disappointed product and obviously because I hung its going to be complicated to do so pay money wasted</v>
      </c>
    </row>
    <row r="1440">
      <c r="A1440" s="1">
        <v>1.0</v>
      </c>
      <c r="B1440" s="1" t="s">
        <v>1435</v>
      </c>
      <c r="C1440" t="str">
        <f>IFERROR(__xludf.DUMMYFUNCTION("GOOGLETRANSLATE(B1440, ""fr"", ""en"")"),"I do not recommend Product not inconsistent with the description of the right material and not much is due to ankle")</f>
        <v>I do not recommend Product not inconsistent with the description of the right material and not much is due to ankle</v>
      </c>
    </row>
    <row r="1441">
      <c r="A1441" s="1">
        <v>3.0</v>
      </c>
      <c r="B1441" s="1" t="s">
        <v>1436</v>
      </c>
      <c r="C1441" t="str">
        <f>IFERROR(__xludf.DUMMYFUNCTION("GOOGLETRANSLATE(B1441, ""fr"", ""en"")"),"A handy Watch shows very practical with its many features and vibrate. I like the ergonomics of the control buttons, the quality of lighting, setting the time of ease. I do not like the excessive height of the housing. Price low and thus a good deal. merc"&amp;"hant service and impeccable delivery time.")</f>
        <v>A handy Watch shows very practical with its many features and vibrate. I like the ergonomics of the control buttons, the quality of lighting, setting the time of ease. I do not like the excessive height of the housing. Price low and thus a good deal. merchant service and impeccable delivery time.</v>
      </c>
    </row>
    <row r="1442">
      <c r="A1442" s="1">
        <v>3.0</v>
      </c>
      <c r="B1442" s="1" t="s">
        <v>1437</v>
      </c>
      <c r="C1442" t="str">
        <f>IFERROR(__xludf.DUMMYFUNCTION("GOOGLETRANSLATE(B1442, ""fr"", ""en"")"),"Polar winter average product. Size correct but blister on the fabric!")</f>
        <v>Polar winter average product. Size correct but blister on the fabric!</v>
      </c>
    </row>
    <row r="1443">
      <c r="A1443" s="1">
        <v>4.0</v>
      </c>
      <c r="B1443" s="1" t="s">
        <v>1438</v>
      </c>
      <c r="C1443" t="str">
        <f>IFERROR(__xludf.DUMMYFUNCTION("GOOGLETRANSLATE(B1443, ""fr"", ""en"")"),"Mixed ring. Very nice solid ring high quality, nice finish. Easy to find with the size chart provided.")</f>
        <v>Mixed ring. Very nice solid ring high quality, nice finish. Easy to find with the size chart provided.</v>
      </c>
    </row>
    <row r="1444">
      <c r="A1444" s="1">
        <v>4.0</v>
      </c>
      <c r="B1444" s="1" t="s">
        <v>1439</v>
      </c>
      <c r="C1444" t="str">
        <f>IFERROR(__xludf.DUMMYFUNCTION("GOOGLETRANSLATE(B1444, ""fr"", ""en"")"),"A gift that rained. It was that I offered these sneakers was thrilled.")</f>
        <v>A gift that rained. It was that I offered these sneakers was thrilled.</v>
      </c>
    </row>
    <row r="1445">
      <c r="A1445" s="1">
        <v>4.0</v>
      </c>
      <c r="B1445" s="1" t="s">
        <v>1440</v>
      </c>
      <c r="C1445" t="str">
        <f>IFERROR(__xludf.DUMMYFUNCTION("GOOGLETRANSLATE(B1445, ""fr"", ""en"")"),"Super Bought bracelet for joint pain. 1 month ago I feel better. Less muscle soreness I'm super excited.")</f>
        <v>Super Bought bracelet for joint pain. 1 month ago I feel better. Less muscle soreness I'm super excited.</v>
      </c>
    </row>
    <row r="1446">
      <c r="A1446" s="1">
        <v>4.0</v>
      </c>
      <c r="B1446" s="1" t="s">
        <v>1441</v>
      </c>
      <c r="C1446" t="str">
        <f>IFERROR(__xludf.DUMMYFUNCTION("GOOGLETRANSLATE(B1446, ""fr"", ""en"")"),"I recommend good quality product I recommend")</f>
        <v>I recommend good quality product I recommend</v>
      </c>
    </row>
    <row r="1447">
      <c r="A1447" s="1">
        <v>5.0</v>
      </c>
      <c r="B1447" s="1" t="s">
        <v>1442</v>
      </c>
      <c r="C1447" t="str">
        <f>IFERROR(__xludf.DUMMYFUNCTION("GOOGLETRANSLATE(B1447, ""fr"", ""en"")"),"Super Timeless 👍 👍 I did not leave and goes with everything 😉")</f>
        <v>Super Timeless 👍 👍 I did not leave and goes with everything 😉</v>
      </c>
    </row>
    <row r="1448">
      <c r="A1448" s="1">
        <v>5.0</v>
      </c>
      <c r="B1448" s="1" t="s">
        <v>1443</v>
      </c>
      <c r="C1448" t="str">
        <f>IFERROR(__xludf.DUMMYFUNCTION("GOOGLETRANSLATE(B1448, ""fr"", ""en"")"),"_ fast delivery efficiency to check in time Fast delivery and consistent with what was announced. I bought this product to scare away any birds ravaging my cherry. Efficacy validated in time for the moment, it is impossible to judge.")</f>
        <v>_ fast delivery efficiency to check in time Fast delivery and consistent with what was announced. I bought this product to scare away any birds ravaging my cherry. Efficacy validated in time for the moment, it is impossible to judge.</v>
      </c>
    </row>
    <row r="1449">
      <c r="A1449" s="1">
        <v>5.0</v>
      </c>
      <c r="B1449" s="1" t="s">
        <v>1444</v>
      </c>
      <c r="C1449" t="str">
        <f>IFERROR(__xludf.DUMMYFUNCTION("GOOGLETRANSLATE(B1449, ""fr"", ""en"")"),"Light practical and well designed This is a small compact lamp (14 x 14 x 4 cm) and lightweight (approx. 400 grams). It plugs into the mains, or its built-in battery (about 4 hours of charge for an hour of use). The manual provided is clear and complete. "&amp;"From a design mat, the lamp is very well finished, very easy to use: one button to turn it on, and two buttons to adjust the lighting power. The base on which it rests is not very stable, but still acceptable. I use it every day around twenty minutes betw"&amp;"een 9 AM and 10 AM in the morning, since 3 weeks and this poses no constraint me ... I'm retired, but I think in an office, its use should not disrupt your surroundings. Given its size and the fact that it is rechargeable, it can be taken everywhere (A st"&amp;"orage pocket is provided). Regarding its effectiveness, I can hardly say I do not have depression problem and I sleep properly. placebo effect can be, but I feel very active during the day since I started using this lamp ... For those unfamiliar with ligh"&amp;"t therapy and its positive effects against seasonal depression and sleep disorders, I would advise them to read articles about it on the internet and talk to their doctor's judgment will certainly be more accurate than mine.")</f>
        <v>Light practical and well designed This is a small compact lamp (14 x 14 x 4 cm) and lightweight (approx. 400 grams). It plugs into the mains, or its built-in battery (about 4 hours of charge for an hour of use). The manual provided is clear and complete. From a design mat, the lamp is very well finished, very easy to use: one button to turn it on, and two buttons to adjust the lighting power. The base on which it rests is not very stable, but still acceptable. I use it every day around twenty minutes between 9 AM and 10 AM in the morning, since 3 weeks and this poses no constraint me ... I'm retired, but I think in an office, its use should not disrupt your surroundings. Given its size and the fact that it is rechargeable, it can be taken everywhere (A storage pocket is provided). Regarding its effectiveness, I can hardly say I do not have depression problem and I sleep properly. placebo effect can be, but I feel very active during the day since I started using this lamp ... For those unfamiliar with light therapy and its positive effects against seasonal depression and sleep disorders, I would advise them to read articles about it on the internet and talk to their doctor's judgment will certainly be more accurate than mine.</v>
      </c>
    </row>
    <row r="1450">
      <c r="A1450" s="1">
        <v>5.0</v>
      </c>
      <c r="B1450" s="1" t="s">
        <v>1445</v>
      </c>
      <c r="C1450" t="str">
        <f>IFERROR(__xludf.DUMMYFUNCTION("GOOGLETRANSLATE(B1450, ""fr"", ""en"")"),"Perfect for security Meets the expected. Would recommend for those who work with stone, concrete blocks at home!")</f>
        <v>Perfect for security Meets the expected. Would recommend for those who work with stone, concrete blocks at home!</v>
      </c>
    </row>
    <row r="1451">
      <c r="A1451" s="1">
        <v>5.0</v>
      </c>
      <c r="B1451" s="1" t="s">
        <v>1446</v>
      </c>
      <c r="C1451" t="str">
        <f>IFERROR(__xludf.DUMMYFUNCTION("GOOGLETRANSLATE(B1451, ""fr"", ""en"")"),"Mystic I use this product to perfume rooms and make my cat not urinating some places. I recommend !!!")</f>
        <v>Mystic I use this product to perfume rooms and make my cat not urinating some places. I recommend !!!</v>
      </c>
    </row>
    <row r="1452">
      <c r="A1452" s="1">
        <v>5.0</v>
      </c>
      <c r="B1452" s="1" t="s">
        <v>1447</v>
      </c>
      <c r="C1452" t="str">
        <f>IFERROR(__xludf.DUMMYFUNCTION("GOOGLETRANSLATE(B1452, ""fr"", ""en"")"),"Great coffee! I recommend I bought this kettle as it gives the temperature of the water, essential to make a good tea. Its retro design is very chic. I highly recommend.")</f>
        <v>Great coffee! I recommend I bought this kettle as it gives the temperature of the water, essential to make a good tea. Its retro design is very chic. I highly recommend.</v>
      </c>
    </row>
    <row r="1453">
      <c r="A1453" s="1">
        <v>5.0</v>
      </c>
      <c r="B1453" s="1" t="s">
        <v>1448</v>
      </c>
      <c r="C1453" t="str">
        <f>IFERROR(__xludf.DUMMYFUNCTION("GOOGLETRANSLATE(B1453, ""fr"", ""en"")"),"Necklace silver heart I just got this really pretty necklace is pretty fine received with a jewelry box was very well presented I do not regret buying wash the contrary I highly recommend it for a gift purpose. 😃")</f>
        <v>Necklace silver heart I just got this really pretty necklace is pretty fine received with a jewelry box was very well presented I do not regret buying wash the contrary I highly recommend it for a gift purpose. 😃</v>
      </c>
    </row>
    <row r="1454">
      <c r="A1454" s="1">
        <v>5.0</v>
      </c>
      <c r="B1454" s="1" t="s">
        <v>1449</v>
      </c>
      <c r="C1454" t="str">
        <f>IFERROR(__xludf.DUMMYFUNCTION("GOOGLETRANSLATE(B1454, ""fr"", ""en"")"),"VALUE FOR MONEY PERFECT")</f>
        <v>VALUE FOR MONEY PERFECT</v>
      </c>
    </row>
    <row r="1455">
      <c r="A1455" s="1">
        <v>5.0</v>
      </c>
      <c r="B1455" s="1" t="s">
        <v>1450</v>
      </c>
      <c r="C1455" t="str">
        <f>IFERROR(__xludf.DUMMYFUNCTION("GOOGLETRANSLATE(B1455, ""fr"", ""en"")"),"It's good quality ink cartridges. RAS")</f>
        <v>It's good quality ink cartridges. RAS</v>
      </c>
    </row>
    <row r="1456">
      <c r="A1456" s="1">
        <v>5.0</v>
      </c>
      <c r="B1456" s="1" t="s">
        <v>1451</v>
      </c>
      <c r="C1456" t="str">
        <f>IFERROR(__xludf.DUMMYFUNCTION("GOOGLETRANSLATE(B1456, ""fr"", ""en"")"),"Surprising Compared clutter, the sound is very good, the bass is present but some saturate at maximum volume. The hard case and cable are good. The Bluetooth pairing is simple, just leave the center button depressed a few seconds. The Bluetooth range with"&amp;" the phone allows to move away from ten meters without signal loss, top! It is very stable on the ears, no worries to run with. I recommend!")</f>
        <v>Surprising Compared clutter, the sound is very good, the bass is present but some saturate at maximum volume. The hard case and cable are good. The Bluetooth pairing is simple, just leave the center button depressed a few seconds. The Bluetooth range with the phone allows to move away from ten meters without signal loss, top! It is very stable on the ears, no worries to run with. I recommend!</v>
      </c>
    </row>
    <row r="1457">
      <c r="A1457" s="1">
        <v>5.0</v>
      </c>
      <c r="B1457" s="1" t="s">
        <v>1452</v>
      </c>
      <c r="C1457" t="str">
        <f>IFERROR(__xludf.DUMMYFUNCTION("GOOGLETRANSLATE(B1457, ""fr"", ""en"")"),"Commissioned for my father for my father who is a fan of this brand, they are perfect for a great price !!")</f>
        <v>Commissioned for my father for my father who is a fan of this brand, they are perfect for a great price !!</v>
      </c>
    </row>
    <row r="1458">
      <c r="A1458" s="1">
        <v>5.0</v>
      </c>
      <c r="B1458" s="1" t="s">
        <v>508</v>
      </c>
      <c r="C1458" t="str">
        <f>IFERROR(__xludf.DUMMYFUNCTION("GOOGLETRANSLATE(B1458, ""fr"", ""en"")"),"Very well very well")</f>
        <v>Very well very well</v>
      </c>
    </row>
    <row r="1459">
      <c r="A1459" s="1">
        <v>5.0</v>
      </c>
      <c r="B1459" s="1" t="s">
        <v>1453</v>
      </c>
      <c r="C1459" t="str">
        <f>IFERROR(__xludf.DUMMYFUNCTION("GOOGLETRANSLATE(B1459, ""fr"", ""en"")"),"best birthday gift of fashion for young women 23 years they are delighted")</f>
        <v>best birthday gift of fashion for young women 23 years they are delighted</v>
      </c>
    </row>
    <row r="1460">
      <c r="A1460" s="1">
        <v>5.0</v>
      </c>
      <c r="B1460" s="1" t="s">
        <v>1454</v>
      </c>
      <c r="C1460" t="str">
        <f>IFERROR(__xludf.DUMMYFUNCTION("GOOGLETRANSLATE(B1460, ""fr"", ""en"")"),"Top! My first watch casio. I bought it out of curiosity and I am delighted. Watch very discreet (we forget that the door so that it is fine), to the basic functions (stopwatch, date, light, waterproof) and the little ""beep"" every hour is practical.")</f>
        <v>Top! My first watch casio. I bought it out of curiosity and I am delighted. Watch very discreet (we forget that the door so that it is fine), to the basic functions (stopwatch, date, light, waterproof) and the little "beep" every hour is practical.</v>
      </c>
    </row>
    <row r="1461">
      <c r="A1461" s="1">
        <v>5.0</v>
      </c>
      <c r="B1461" s="1" t="s">
        <v>1455</v>
      </c>
      <c r="C1461" t="str">
        <f>IFERROR(__xludf.DUMMYFUNCTION("GOOGLETRANSLATE(B1461, ""fr"", ""en"")"),"Great product Very practical. Received very quickly. Easy clean")</f>
        <v>Great product Very practical. Received very quickly. Easy clean</v>
      </c>
    </row>
    <row r="1462">
      <c r="A1462" s="1">
        <v>5.0</v>
      </c>
      <c r="B1462" s="1" t="s">
        <v>1456</v>
      </c>
      <c r="C1462" t="str">
        <f>IFERROR(__xludf.DUMMYFUNCTION("GOOGLETRANSLATE(B1462, ""fr"", ""en"")"),"TEMPERATURE OF THE SEA I swim hard and long, early in the season and back season, in combination if necessary. It is important for me to know the temperature of the water, according to the weather. This shows up to my expectations, easy to use, (explanato"&amp;"ry leaflet in French), very readable digits, flexible strap that fits my small wrist. (I'm a woman). But this model has other applications I recommend ...")</f>
        <v>TEMPERATURE OF THE SEA I swim hard and long, early in the season and back season, in combination if necessary. It is important for me to know the temperature of the water, according to the weather. This shows up to my expectations, easy to use, (explanatory leaflet in French), very readable digits, flexible strap that fits my small wrist. (I'm a woman). But this model has other applications I recommend ...</v>
      </c>
    </row>
    <row r="1463">
      <c r="A1463" s="1">
        <v>2.0</v>
      </c>
      <c r="B1463" s="1" t="s">
        <v>1457</v>
      </c>
      <c r="C1463" t="str">
        <f>IFERROR(__xludf.DUMMYFUNCTION("GOOGLETRANSLATE(B1463, ""fr"", ""en"")"),"No sound The sound is very light and yet the charge is 100%")</f>
        <v>No sound The sound is very light and yet the charge is 100%</v>
      </c>
    </row>
    <row r="1464">
      <c r="A1464" s="1">
        <v>1.0</v>
      </c>
      <c r="B1464" s="1" t="s">
        <v>1458</v>
      </c>
      <c r="C1464" t="str">
        <f>IFERROR(__xludf.DUMMYFUNCTION("GOOGLETRANSLATE(B1464, ""fr"", ""en"")"),"Refunded or exchanged? Menteau too recut and recut with toupee hood colplètement stained.")</f>
        <v>Refunded or exchanged? Menteau too recut and recut with toupee hood colplètement stained.</v>
      </c>
    </row>
    <row r="1465">
      <c r="A1465" s="1">
        <v>1.0</v>
      </c>
      <c r="B1465" s="1" t="s">
        <v>1459</v>
      </c>
      <c r="C1465" t="str">
        <f>IFERROR(__xludf.DUMMYFUNCTION("GOOGLETRANSLATE(B1465, ""fr"", ""en"")"),"Not recommended. Nice little coffee; pity that the switch no longer works with two uses. I'll try to ask that it be replaced. Made in China, of course.")</f>
        <v>Not recommended. Nice little coffee; pity that the switch no longer works with two uses. I'll try to ask that it be replaced. Made in China, of course.</v>
      </c>
    </row>
    <row r="1466">
      <c r="A1466" s="1">
        <v>3.0</v>
      </c>
      <c r="B1466" s="1" t="s">
        <v>1460</v>
      </c>
      <c r="C1466" t="str">
        <f>IFERROR(__xludf.DUMMYFUNCTION("GOOGLETRANSLATE(B1466, ""fr"", ""en"")"),"Compliant and comfortable to wear, but a little light (fragile) finished goods, soft and comfortable to wear, but I do not think they will fire as long weaving a bit light and heels not reinforced. Not unhappy, but I expected a little better from Puma in "&amp;"terms of resistance and durability over time")</f>
        <v>Compliant and comfortable to wear, but a little light (fragile) finished goods, soft and comfortable to wear, but I do not think they will fire as long weaving a bit light and heels not reinforced. Not unhappy, but I expected a little better from Puma in terms of resistance and durability over time</v>
      </c>
    </row>
    <row r="1467">
      <c r="A1467" s="1">
        <v>4.0</v>
      </c>
      <c r="B1467" s="1" t="s">
        <v>1461</v>
      </c>
      <c r="C1467" t="str">
        <f>IFERROR(__xludf.DUMMYFUNCTION("GOOGLETRANSLATE(B1467, ""fr"", ""en"")"),"Beautiful resistant watch Watch perfect for me who discovered the world of G-Shock. It is part of the heritage of this brand. Very easy to use, even without reading the manual. One regret, I received it with a micro scratch on the screen but it is seen as"&amp;" closely enough no need to return it. Sending fast and cheapest price compared to physical stores.")</f>
        <v>Beautiful resistant watch Watch perfect for me who discovered the world of G-Shock. It is part of the heritage of this brand. Very easy to use, even without reading the manual. One regret, I received it with a micro scratch on the screen but it is seen as closely enough no need to return it. Sending fast and cheapest price compared to physical stores.</v>
      </c>
    </row>
    <row r="1468">
      <c r="A1468" s="1">
        <v>4.0</v>
      </c>
      <c r="B1468" s="1" t="s">
        <v>1462</v>
      </c>
      <c r="C1468" t="str">
        <f>IFERROR(__xludf.DUMMYFUNCTION("GOOGLETRANSLATE(B1468, ""fr"", ""en"")"),"good product perfect for forest walks, playing sports is soft and warm and has a nice cut")</f>
        <v>good product perfect for forest walks, playing sports is soft and warm and has a nice cut</v>
      </c>
    </row>
    <row r="1469">
      <c r="A1469" s="1">
        <v>4.0</v>
      </c>
      <c r="B1469" s="1" t="s">
        <v>1463</v>
      </c>
      <c r="C1469" t="str">
        <f>IFERROR(__xludf.DUMMYFUNCTION("GOOGLETRANSLATE(B1469, ""fr"", ""en"")"),"Cheap and very good This microphone is ideal for achieving what I wanted to do. I wanted to improve training video recordings I make with a screenshot of the software, and this Bird UM1 USB connects perfectly with the Mac, and works right away. The sound "&amp;"quality is extremely good for this type of use. There are no complaints about manufacturing. It will probably buy an anti-plosive filter to make my recordings a success.")</f>
        <v>Cheap and very good This microphone is ideal for achieving what I wanted to do. I wanted to improve training video recordings I make with a screenshot of the software, and this Bird UM1 USB connects perfectly with the Mac, and works right away. The sound quality is extremely good for this type of use. There are no complaints about manufacturing. It will probably buy an anti-plosive filter to make my recordings a success.</v>
      </c>
    </row>
    <row r="1470">
      <c r="A1470" s="1">
        <v>4.0</v>
      </c>
      <c r="B1470" s="1" t="s">
        <v>1464</v>
      </c>
      <c r="C1470" t="str">
        <f>IFERROR(__xludf.DUMMYFUNCTION("GOOGLETRANSLATE(B1470, ""fr"", ""en"")"),"Well except for two plugs Eats pack felts. Only flat caps hold very badly, so it will always go behind your children to check. After the fine mines are still solid. Wide choice of color.")</f>
        <v>Well except for two plugs Eats pack felts. Only flat caps hold very badly, so it will always go behind your children to check. After the fine mines are still solid. Wide choice of color.</v>
      </c>
    </row>
    <row r="1471">
      <c r="A1471" s="1">
        <v>5.0</v>
      </c>
      <c r="B1471" s="1" t="s">
        <v>1465</v>
      </c>
      <c r="C1471" t="str">
        <f>IFERROR(__xludf.DUMMYFUNCTION("GOOGLETRANSLATE(B1471, ""fr"", ""en"")"),"Super impeccable and beautiful")</f>
        <v>Super impeccable and beautiful</v>
      </c>
    </row>
    <row r="1472">
      <c r="A1472" s="1">
        <v>5.0</v>
      </c>
      <c r="B1472" s="1" t="s">
        <v>1466</v>
      </c>
      <c r="C1472" t="str">
        <f>IFERROR(__xludf.DUMMYFUNCTION("GOOGLETRANSLATE(B1472, ""fr"", ""en"")"),"I recommend light Sympas and good quality for the price")</f>
        <v>I recommend light Sympas and good quality for the price</v>
      </c>
    </row>
    <row r="1473">
      <c r="A1473" s="1">
        <v>5.0</v>
      </c>
      <c r="B1473" s="1" t="s">
        <v>1467</v>
      </c>
      <c r="C1473" t="str">
        <f>IFERROR(__xludf.DUMMYFUNCTION("GOOGLETRANSLATE(B1473, ""fr"", ""en"")"),"rug")</f>
        <v>rug</v>
      </c>
    </row>
    <row r="1474">
      <c r="A1474" s="1">
        <v>5.0</v>
      </c>
      <c r="B1474" s="1" t="s">
        <v>1468</v>
      </c>
      <c r="C1474" t="str">
        <f>IFERROR(__xludf.DUMMYFUNCTION("GOOGLETRANSLATE(B1474, ""fr"", ""en"")"),"Fits perfectly Nothing wrong")</f>
        <v>Fits perfectly Nothing wrong</v>
      </c>
    </row>
    <row r="1475">
      <c r="A1475" s="1">
        <v>5.0</v>
      </c>
      <c r="B1475" s="1" t="s">
        <v>1469</v>
      </c>
      <c r="C1475" t="str">
        <f>IFERROR(__xludf.DUMMYFUNCTION("GOOGLETRANSLATE(B1475, ""fr"", ""en"")"),"Although Converse cut, comfortable nickel")</f>
        <v>Although Converse cut, comfortable nickel</v>
      </c>
    </row>
    <row r="1476">
      <c r="A1476" s="1">
        <v>5.0</v>
      </c>
      <c r="B1476" s="1" t="s">
        <v>1470</v>
      </c>
      <c r="C1476" t="str">
        <f>IFERROR(__xludf.DUMMYFUNCTION("GOOGLETRANSLATE(B1476, ""fr"", ""en"")"),"Perfect ! Very nice shoes they sparkling and are enhanced as I wanted. For my part I play sports with and is nickel because I do not support flat sneakers.")</f>
        <v>Perfect ! Very nice shoes they sparkling and are enhanced as I wanted. For my part I play sports with and is nickel because I do not support flat sneakers.</v>
      </c>
    </row>
    <row r="1477">
      <c r="A1477" s="1">
        <v>5.0</v>
      </c>
      <c r="B1477" s="1" t="s">
        <v>1471</v>
      </c>
      <c r="C1477" t="str">
        <f>IFERROR(__xludf.DUMMYFUNCTION("GOOGLETRANSLATE(B1477, ""fr"", ""en"")"),"Satisfied Perfect in 2-3-4 mm for piercings very close like mine, no allergies, the clasps are well, I am very satisfied")</f>
        <v>Satisfied Perfect in 2-3-4 mm for piercings very close like mine, no allergies, the clasps are well, I am very satisfied</v>
      </c>
    </row>
    <row r="1478">
      <c r="A1478" s="1">
        <v>5.0</v>
      </c>
      <c r="B1478" s="1" t="s">
        <v>1472</v>
      </c>
      <c r="C1478" t="str">
        <f>IFERROR(__xludf.DUMMYFUNCTION("GOOGLETRANSLATE(B1478, ""fr"", ""en"")"),"Easy to maintain and resistant Excellent sock for active walking")</f>
        <v>Easy to maintain and resistant Excellent sock for active walking</v>
      </c>
    </row>
    <row r="1479">
      <c r="A1479" s="1">
        <v>5.0</v>
      </c>
      <c r="B1479" s="1" t="s">
        <v>1473</v>
      </c>
      <c r="C1479" t="str">
        <f>IFERROR(__xludf.DUMMYFUNCTION("GOOGLETRANSLATE(B1479, ""fr"", ""en"")"),"Simple but effective Fast delivery. Hardly arrived it was tested! wood design style gives it a nice style Simply put water a few drops of essential oils and it fulfills its function. It diffuses a small steam so pay attention to the supports below and can"&amp;" be turned on with a small light. very easy to use")</f>
        <v>Simple but effective Fast delivery. Hardly arrived it was tested! wood design style gives it a nice style Simply put water a few drops of essential oils and it fulfills its function. It diffuses a small steam so pay attention to the supports below and can be turned on with a small light. very easy to use</v>
      </c>
    </row>
    <row r="1480">
      <c r="A1480" s="1">
        <v>5.0</v>
      </c>
      <c r="B1480" s="1" t="s">
        <v>1474</v>
      </c>
      <c r="C1480" t="str">
        <f>IFERROR(__xludf.DUMMYFUNCTION("GOOGLETRANSLATE(B1480, ""fr"", ""en"")"),"Delighted Okay, I'm happy! I have to open the cap for the desired temperature, but it goes very fast. She is beautiful and the advantage is that you can choose what temperature nimporte that one wishes!")</f>
        <v>Delighted Okay, I'm happy! I have to open the cap for the desired temperature, but it goes very fast. She is beautiful and the advantage is that you can choose what temperature nimporte that one wishes!</v>
      </c>
    </row>
    <row r="1481">
      <c r="A1481" s="1">
        <v>5.0</v>
      </c>
      <c r="B1481" s="1" t="s">
        <v>1475</v>
      </c>
      <c r="C1481" t="str">
        <f>IFERROR(__xludf.DUMMYFUNCTION("GOOGLETRANSLATE(B1481, ""fr"", ""en"")"),"Laundry done for skin or allergy problems My wire did a lot of skin reaction but with laundry sequin more concern ... was dosed as easily leave a white deposit in the machine.")</f>
        <v>Laundry done for skin or allergy problems My wire did a lot of skin reaction but with laundry sequin more concern ... was dosed as easily leave a white deposit in the machine.</v>
      </c>
    </row>
    <row r="1482">
      <c r="A1482" s="1">
        <v>5.0</v>
      </c>
      <c r="B1482" s="1" t="s">
        <v>1476</v>
      </c>
      <c r="C1482" t="str">
        <f>IFERROR(__xludf.DUMMYFUNCTION("GOOGLETRANSLATE(B1482, ""fr"", ""en"")"),"All 972 Heavy as dab")</f>
        <v>All 972 Heavy as dab</v>
      </c>
    </row>
    <row r="1483">
      <c r="A1483" s="1">
        <v>5.0</v>
      </c>
      <c r="B1483" s="1" t="s">
        <v>1477</v>
      </c>
      <c r="C1483" t="str">
        <f>IFERROR(__xludf.DUMMYFUNCTION("GOOGLETRANSLATE(B1483, ""fr"", ""en"")"),"Headphones high quality headset perfect nothing to criticize! confortable..isolant well le.bruit surrounding helmet.")</f>
        <v>Headphones high quality headset perfect nothing to criticize! confortable..isolant well le.bruit surrounding helmet.</v>
      </c>
    </row>
    <row r="1484">
      <c r="A1484" s="1">
        <v>5.0</v>
      </c>
      <c r="B1484" s="1" t="s">
        <v>1478</v>
      </c>
      <c r="C1484" t="str">
        <f>IFERROR(__xludf.DUMMYFUNCTION("GOOGLETRANSLATE(B1484, ""fr"", ""en"")"),"this wonderful gift Amethyst Swarovski crystal bracelet comes in an elegant gift box jewelry, I have offered my wife for wedding anniversary occasion and was thrilled .. This is a very nice bracelet, Jewelry in elegant crystal, it is very good (weather co"&amp;"nfirm). very nice and gives excellent effect on the wrist. my wife is thrilled! At this price, easy to please.")</f>
        <v>this wonderful gift Amethyst Swarovski crystal bracelet comes in an elegant gift box jewelry, I have offered my wife for wedding anniversary occasion and was thrilled .. This is a very nice bracelet, Jewelry in elegant crystal, it is very good (weather confirm). very nice and gives excellent effect on the wrist. my wife is thrilled! At this price, easy to please.</v>
      </c>
    </row>
    <row r="1485">
      <c r="A1485" s="1">
        <v>5.0</v>
      </c>
      <c r="B1485" s="1" t="s">
        <v>1479</v>
      </c>
      <c r="C1485" t="str">
        <f>IFERROR(__xludf.DUMMYFUNCTION("GOOGLETRANSLATE(B1485, ""fr"", ""en"")"),"Perfect for pre-heating the part of the back in bed before bed perfect for preheating the part of the back in bed before bed temperature is nice, it deserves to be a little warmer, especially since it's expected ( for me) to preheat the part of the bed wh"&amp;"ere the back will be. It is imperative to the temperature max c. to r .: 3")</f>
        <v>Perfect for pre-heating the part of the back in bed before bed perfect for preheating the part of the back in bed before bed temperature is nice, it deserves to be a little warmer, especially since it's expected ( for me) to preheat the part of the bed where the back will be. It is imperative to the temperature max c. to r .: 3</v>
      </c>
    </row>
    <row r="1486">
      <c r="A1486" s="1">
        <v>2.0</v>
      </c>
      <c r="B1486" s="1" t="s">
        <v>1480</v>
      </c>
      <c r="C1486" t="str">
        <f>IFERROR(__xludf.DUMMYFUNCTION("GOOGLETRANSLATE(B1486, ""fr"", ""en"")"),"Arrivals broken very beautiful earrings, very fine but arrived broken suddenly I can not put shame because they liked very much.")</f>
        <v>Arrivals broken very beautiful earrings, very fine but arrived broken suddenly I can not put shame because they liked very much.</v>
      </c>
    </row>
    <row r="1487">
      <c r="A1487" s="1">
        <v>1.0</v>
      </c>
      <c r="B1487" s="1" t="s">
        <v>1481</v>
      </c>
      <c r="C1487" t="str">
        <f>IFERROR(__xludf.DUMMYFUNCTION("GOOGLETRANSLATE(B1487, ""fr"", ""en"")"),"Roland not the product is very poorly stitched at the elbows")</f>
        <v>Roland not the product is very poorly stitched at the elbows</v>
      </c>
    </row>
    <row r="1488">
      <c r="A1488" s="1">
        <v>3.0</v>
      </c>
      <c r="B1488" s="1" t="s">
        <v>1482</v>
      </c>
      <c r="C1488" t="str">
        <f>IFERROR(__xludf.DUMMYFUNCTION("GOOGLETRANSLATE(B1488, ""fr"", ""en"")"),"good shoe wooden shoe and cook, properly size now see in the long term for qualiter otherwise seen as his has the quality area")</f>
        <v>good shoe wooden shoe and cook, properly size now see in the long term for qualiter otherwise seen as his has the quality area</v>
      </c>
    </row>
    <row r="1489">
      <c r="A1489" s="1">
        <v>3.0</v>
      </c>
      <c r="B1489" s="1" t="s">
        <v>1483</v>
      </c>
      <c r="C1489" t="str">
        <f>IFERROR(__xludf.DUMMYFUNCTION("GOOGLETRANSLATE(B1489, ""fr"", ""en"")"),"Product correct way color photos printed on do not keep their original vivacity. The photos do not remain flat. They twist.")</f>
        <v>Product correct way color photos printed on do not keep their original vivacity. The photos do not remain flat. They twist.</v>
      </c>
    </row>
    <row r="1490">
      <c r="A1490" s="1">
        <v>4.0</v>
      </c>
      <c r="B1490" s="1" t="s">
        <v>1484</v>
      </c>
      <c r="C1490" t="str">
        <f>IFERROR(__xludf.DUMMYFUNCTION("GOOGLETRANSLATE(B1490, ""fr"", ""en"")"),"Size large, nice quality Bought for my 13 year old son in S, carried by my companion who normally wears L. A little big, but otherwise nice product, good quality. Satisfied, but not for good carrier.")</f>
        <v>Size large, nice quality Bought for my 13 year old son in S, carried by my companion who normally wears L. A little big, but otherwise nice product, good quality. Satisfied, but not for good carrier.</v>
      </c>
    </row>
    <row r="1491">
      <c r="A1491" s="1">
        <v>4.0</v>
      </c>
      <c r="B1491" s="1" t="s">
        <v>1485</v>
      </c>
      <c r="C1491" t="str">
        <f>IFERROR(__xludf.DUMMYFUNCTION("GOOGLETRANSLATE(B1491, ""fr"", ""en"")"),"Quite expensive but correct quality No worry at the order, delivery is fast, well packaged product. But these cartridges are quite expensive, although I prefer to use HP cartridges cartridges rather than ""non-genuine"", the quality is good but not except"&amp;"ional. I have not counted the number of pages we print with a set of black cartridge / colors, but I think it's not huge. However the difference between ""normal"" cartridge and the cartridge ""XL"" stands out.")</f>
        <v>Quite expensive but correct quality No worry at the order, delivery is fast, well packaged product. But these cartridges are quite expensive, although I prefer to use HP cartridges cartridges rather than "non-genuine", the quality is good but not exceptional. I have not counted the number of pages we print with a set of black cartridge / colors, but I think it's not huge. However the difference between "normal" cartridge and the cartridge "XL" stands out.</v>
      </c>
    </row>
    <row r="1492">
      <c r="A1492" s="1">
        <v>4.0</v>
      </c>
      <c r="B1492" s="1" t="s">
        <v>1486</v>
      </c>
      <c r="C1492" t="str">
        <f>IFERROR(__xludf.DUMMYFUNCTION("GOOGLETRANSLATE(B1492, ""fr"", ""en"")"),"A book to put all hands Texts are a little too minimalist perhaps, but the illustrations are really beautiful, original and full of creativity, which is valuable to evoke that of women! All kinds of women, not just politically correct heroines because eve"&amp;"n Thatcher contained therein: no reason! gender equality is also to give women the right to be as hard as men!")</f>
        <v>A book to put all hands Texts are a little too minimalist perhaps, but the illustrations are really beautiful, original and full of creativity, which is valuable to evoke that of women! All kinds of women, not just politically correct heroines because even Thatcher contained therein: no reason! gender equality is also to give women the right to be as hard as men!</v>
      </c>
    </row>
    <row r="1493">
      <c r="A1493" s="1">
        <v>4.0</v>
      </c>
      <c r="B1493" s="1" t="s">
        <v>1487</v>
      </c>
      <c r="C1493" t="str">
        <f>IFERROR(__xludf.DUMMYFUNCTION("GOOGLETRANSLATE(B1493, ""fr"", ""en"")"),"Well Done job are.")</f>
        <v>Well Done job are.</v>
      </c>
    </row>
    <row r="1494">
      <c r="A1494" s="1">
        <v>4.0</v>
      </c>
      <c r="B1494" s="1" t="s">
        <v>1488</v>
      </c>
      <c r="C1494" t="str">
        <f>IFERROR(__xludf.DUMMYFUNCTION("GOOGLETRANSLATE(B1494, ""fr"", ""en"")"),"Biovie Black Soap Liquid Painting Lin 1 L - 2 Pack Good product, efficient washing, and proper use.")</f>
        <v>Biovie Black Soap Liquid Painting Lin 1 L - 2 Pack Good product, efficient washing, and proper use.</v>
      </c>
    </row>
    <row r="1495">
      <c r="A1495" s="1">
        <v>5.0</v>
      </c>
      <c r="B1495" s="1" t="s">
        <v>1489</v>
      </c>
      <c r="C1495" t="str">
        <f>IFERROR(__xludf.DUMMYFUNCTION("GOOGLETRANSLATE(B1495, ""fr"", ""en"")"),"Perfect for a while I wanted a Casio watch. I think that's very nice, élegante dressed. It is easily adjustable and fits any wrist !! Comfortable, she marries held any type. She resisted a few drops of water type if you wash your hands or made dishes or r"&amp;"aining outside, no worries !!")</f>
        <v>Perfect for a while I wanted a Casio watch. I think that's very nice, élegante dressed. It is easily adjustable and fits any wrist !! Comfortable, she marries held any type. She resisted a few drops of water type if you wash your hands or made dishes or raining outside, no worries !!</v>
      </c>
    </row>
    <row r="1496">
      <c r="A1496" s="1">
        <v>5.0</v>
      </c>
      <c r="B1496" s="1" t="s">
        <v>1490</v>
      </c>
      <c r="C1496" t="str">
        <f>IFERROR(__xludf.DUMMYFUNCTION("GOOGLETRANSLATE(B1496, ""fr"", ""en"")"),"recommends Nikel")</f>
        <v>recommends Nikel</v>
      </c>
    </row>
    <row r="1497">
      <c r="A1497" s="1">
        <v>5.0</v>
      </c>
      <c r="B1497" s="1" t="s">
        <v>1491</v>
      </c>
      <c r="C1497" t="str">
        <f>IFERROR(__xludf.DUMMYFUNCTION("GOOGLETRANSLATE(B1497, ""fr"", ""en"")"),"bag chest I am very happy and really convenient bulky as it is on is great product")</f>
        <v>bag chest I am very happy and really convenient bulky as it is on is great product</v>
      </c>
    </row>
    <row r="1498">
      <c r="A1498" s="1">
        <v>5.0</v>
      </c>
      <c r="B1498" s="1" t="s">
        <v>1492</v>
      </c>
      <c r="C1498" t="str">
        <f>IFERROR(__xludf.DUMMYFUNCTION("GOOGLETRANSLATE(B1498, ""fr"", ""en"")"),"Very comfortable shoes I Impecable of 39 I took 39 and they go very well. very condortable")</f>
        <v>Very comfortable shoes I Impecable of 39 I took 39 and they go very well. very condortable</v>
      </c>
    </row>
    <row r="1499">
      <c r="A1499" s="1">
        <v>5.0</v>
      </c>
      <c r="B1499" s="1" t="s">
        <v>1493</v>
      </c>
      <c r="C1499" t="str">
        <f>IFERROR(__xludf.DUMMYFUNCTION("GOOGLETRANSLATE(B1499, ""fr"", ""en"")"),"Slippers for comfortable hiking Hyper. Very good sole that allows everything through. Gives a nice style and more.")</f>
        <v>Slippers for comfortable hiking Hyper. Very good sole that allows everything through. Gives a nice style and more.</v>
      </c>
    </row>
    <row r="1500">
      <c r="A1500" s="1">
        <v>5.0</v>
      </c>
      <c r="B1500" s="1" t="s">
        <v>1494</v>
      </c>
      <c r="C1500" t="str">
        <f>IFERROR(__xludf.DUMMYFUNCTION("GOOGLETRANSLATE(B1500, ""fr"", ""en"")"),"Excellent product The foot is fortunately equipped with clamps. The weight of this microphone is perfect for the arm fully extended. Very pleasantly surprised by the bandwidth of the microphone to my ear is perfect. Very good quality especially at that pr"&amp;"ice point. Before the questions come: Yes, it needs phantom power if no sound! It is preferable to replace the 3.5mm cable end by a male XLR connector. I highly recommend.")</f>
        <v>Excellent product The foot is fortunately equipped with clamps. The weight of this microphone is perfect for the arm fully extended. Very pleasantly surprised by the bandwidth of the microphone to my ear is perfect. Very good quality especially at that price point. Before the questions come: Yes, it needs phantom power if no sound! It is preferable to replace the 3.5mm cable end by a male XLR connector. I highly recommend.</v>
      </c>
    </row>
    <row r="1501">
      <c r="A1501" s="1">
        <v>5.0</v>
      </c>
      <c r="B1501" s="1" t="s">
        <v>1495</v>
      </c>
      <c r="C1501" t="str">
        <f>IFERROR(__xludf.DUMMYFUNCTION("GOOGLETRANSLATE(B1501, ""fr"", ""en"")"),"Very beautiful curls Lovely Creole money. She is very thin and discreet while being great. The slight advantage to wear so it does not distort the earlobe. The clasp is easy to slide closed.")</f>
        <v>Very beautiful curls Lovely Creole money. She is very thin and discreet while being great. The slight advantage to wear so it does not distort the earlobe. The clasp is easy to slide closed.</v>
      </c>
    </row>
    <row r="1502">
      <c r="A1502" s="1">
        <v>5.0</v>
      </c>
      <c r="B1502" s="1" t="s">
        <v>1496</v>
      </c>
      <c r="C1502" t="str">
        <f>IFERROR(__xludf.DUMMYFUNCTION("GOOGLETRANSLATE(B1502, ""fr"", ""en"")"),"Top Very good and quick delivery")</f>
        <v>Top Very good and quick delivery</v>
      </c>
    </row>
    <row r="1503">
      <c r="A1503" s="1">
        <v>5.0</v>
      </c>
      <c r="B1503" s="1" t="s">
        <v>1497</v>
      </c>
      <c r="C1503" t="str">
        <f>IFERROR(__xludf.DUMMYFUNCTION("GOOGLETRANSLATE(B1503, ""fr"", ""en"")"),"Perfect Waterproof, practical, solid. Done perfectly work. And durable. Rubber high quality resistant to shocks. Good product .")</f>
        <v>Perfect Waterproof, practical, solid. Done perfectly work. And durable. Rubber high quality resistant to shocks. Good product .</v>
      </c>
    </row>
    <row r="1504">
      <c r="A1504" s="1">
        <v>5.0</v>
      </c>
      <c r="B1504" s="1" t="s">
        <v>1498</v>
      </c>
      <c r="C1504" t="str">
        <f>IFERROR(__xludf.DUMMYFUNCTION("GOOGLETRANSLATE(B1504, ""fr"", ""en"")"),"Perfect one was ordered 330ml 270 because it felt right. We love Dodie and her animals. Teat solid. I recommend.")</f>
        <v>Perfect one was ordered 330ml 270 because it felt right. We love Dodie and her animals. Teat solid. I recommend.</v>
      </c>
    </row>
    <row r="1505">
      <c r="A1505" s="1">
        <v>5.0</v>
      </c>
      <c r="B1505" s="1" t="s">
        <v>1499</v>
      </c>
      <c r="C1505" t="str">
        <f>IFERROR(__xludf.DUMMYFUNCTION("GOOGLETRANSLATE(B1505, ""fr"", ""en"")"),"Comfortable and well adjusted Shorty very wearable by the material and cut. It takes good size without overwriting the belly and go too high and goes down well just barely above mid thigh. A shorty worthy of the name and not a panty. Perfect !")</f>
        <v>Comfortable and well adjusted Shorty very wearable by the material and cut. It takes good size without overwriting the belly and go too high and goes down well just barely above mid thigh. A shorty worthy of the name and not a panty. Perfect !</v>
      </c>
    </row>
    <row r="1506">
      <c r="A1506" s="1">
        <v>5.0</v>
      </c>
      <c r="B1506" s="1" t="s">
        <v>1500</v>
      </c>
      <c r="C1506" t="str">
        <f>IFERROR(__xludf.DUMMYFUNCTION("GOOGLETRANSLATE(B1506, ""fr"", ""en"")"),"birthday gift idea These felts have had good success for my daughter's birthday! Original, this changes candy!")</f>
        <v>birthday gift idea These felts have had good success for my daughter's birthday! Original, this changes candy!</v>
      </c>
    </row>
    <row r="1507">
      <c r="A1507" s="1">
        <v>5.0</v>
      </c>
      <c r="B1507" s="1" t="s">
        <v>1501</v>
      </c>
      <c r="C1507" t="str">
        <f>IFERROR(__xludf.DUMMYFUNCTION("GOOGLETRANSLATE(B1507, ""fr"", ""en"")"),"super comfortable men I served all day at work they are great")</f>
        <v>super comfortable men I served all day at work they are great</v>
      </c>
    </row>
    <row r="1508">
      <c r="A1508" s="1">
        <v>5.0</v>
      </c>
      <c r="B1508" s="1" t="s">
        <v>1502</v>
      </c>
      <c r="C1508" t="str">
        <f>IFERROR(__xludf.DUMMYFUNCTION("GOOGLETRANSLATE(B1508, ""fr"", ""en"")"),"Very nice shoe but great Shoe excessive Chausse")</f>
        <v>Very nice shoe but great Shoe excessive Chausse</v>
      </c>
    </row>
    <row r="1509">
      <c r="A1509" s="1">
        <v>5.0</v>
      </c>
      <c r="B1509" s="1" t="s">
        <v>1417</v>
      </c>
      <c r="C1509" t="str">
        <f>IFERROR(__xludf.DUMMYFUNCTION("GOOGLETRANSLATE(B1509, ""fr"", ""en"")"),"ras ras")</f>
        <v>ras ras</v>
      </c>
    </row>
    <row r="1510">
      <c r="A1510" s="1">
        <v>2.0</v>
      </c>
      <c r="B1510" s="1" t="s">
        <v>1503</v>
      </c>
      <c r="C1510" t="str">
        <f>IFERROR(__xludf.DUMMYFUNCTION("GOOGLETRANSLATE(B1510, ""fr"", ""en"")"),"Bad I returned to call it was a disaster my interlocutor did not listen and cut it so.")</f>
        <v>Bad I returned to call it was a disaster my interlocutor did not listen and cut it so.</v>
      </c>
    </row>
    <row r="1511">
      <c r="A1511" s="1">
        <v>1.0</v>
      </c>
      <c r="B1511" s="1" t="s">
        <v>1504</v>
      </c>
      <c r="C1511" t="str">
        <f>IFERROR(__xludf.DUMMYFUNCTION("GOOGLETRANSLATE(B1511, ""fr"", ""en"")"),"My money back! I used sneakers 2 months only urban way. No sport. A real scandal. Holes in the sole, they take the water, I have never seen that!")</f>
        <v>My money back! I used sneakers 2 months only urban way. No sport. A real scandal. Holes in the sole, they take the water, I have never seen that!</v>
      </c>
    </row>
    <row r="1512">
      <c r="A1512" s="1">
        <v>1.0</v>
      </c>
      <c r="B1512" s="1" t="s">
        <v>1505</v>
      </c>
      <c r="C1512" t="str">
        <f>IFERROR(__xludf.DUMMYFUNCTION("GOOGLETRANSLATE(B1512, ""fr"", ""en"")"),"Very disappointed at the end of a cable HS I hope a gesture from the seller to get his product")</f>
        <v>Very disappointed at the end of a cable HS I hope a gesture from the seller to get his product</v>
      </c>
    </row>
    <row r="1513">
      <c r="A1513" s="1">
        <v>3.0</v>
      </c>
      <c r="B1513" s="1" t="s">
        <v>1506</v>
      </c>
      <c r="C1513" t="str">
        <f>IFERROR(__xludf.DUMMYFUNCTION("GOOGLETRANSLATE(B1513, ""fr"", ""en"")"),"order a box of 12 stones and they lack the Agatha and sodalite IL missing two stones in the box and it's disappointing for my little girl who loves to collect these stones. Can you trade it? Please keep me informed.")</f>
        <v>order a box of 12 stones and they lack the Agatha and sodalite IL missing two stones in the box and it's disappointing for my little girl who loves to collect these stones. Can you trade it? Please keep me informed.</v>
      </c>
    </row>
    <row r="1514">
      <c r="A1514" s="1">
        <v>3.0</v>
      </c>
      <c r="B1514" s="1" t="s">
        <v>1507</v>
      </c>
      <c r="C1514" t="str">
        <f>IFERROR(__xludf.DUMMYFUNCTION("GOOGLETRANSLATE(B1514, ""fr"", ""en"")"),"very average. Very aesthetic! But a little long to heat water.")</f>
        <v>very average. Very aesthetic! But a little long to heat water.</v>
      </c>
    </row>
    <row r="1515">
      <c r="A1515" s="1">
        <v>4.0</v>
      </c>
      <c r="B1515" s="1" t="s">
        <v>1508</v>
      </c>
      <c r="C1515" t="str">
        <f>IFERROR(__xludf.DUMMYFUNCTION("GOOGLETRANSLATE(B1515, ""fr"", ""en"")"),"Caution is small! My redmi Note 5 holds just in the zip pockets and do not fit into the magnetized front pocket. Magnet is very low or even anecdotal. I put phone, wallet and keys, I could not put more. This is what so wanted that's good! 4 stars because "&amp;"it's the TAF and it's not too bad for a small price.")</f>
        <v>Caution is small! My redmi Note 5 holds just in the zip pockets and do not fit into the magnetized front pocket. Magnet is very low or even anecdotal. I put phone, wallet and keys, I could not put more. This is what so wanted that's good! 4 stars because it's the TAF and it's not too bad for a small price.</v>
      </c>
    </row>
    <row r="1516">
      <c r="A1516" s="1">
        <v>4.0</v>
      </c>
      <c r="B1516" s="1" t="s">
        <v>1509</v>
      </c>
      <c r="C1516" t="str">
        <f>IFERROR(__xludf.DUMMYFUNCTION("GOOGLETRANSLATE(B1516, ""fr"", ""en"")"),"very nice hood very beautiful and efficient, silent, and cheap, what more?")</f>
        <v>very nice hood very beautiful and efficient, silent, and cheap, what more?</v>
      </c>
    </row>
    <row r="1517">
      <c r="A1517" s="1">
        <v>4.0</v>
      </c>
      <c r="B1517" s="1" t="s">
        <v>1510</v>
      </c>
      <c r="C1517" t="str">
        <f>IFERROR(__xludf.DUMMYFUNCTION("GOOGLETRANSLATE(B1517, ""fr"", ""en"")"),"Very good, easy to use to see over time if it really helps sore legs ...")</f>
        <v>Very good, easy to use to see over time if it really helps sore legs ...</v>
      </c>
    </row>
    <row r="1518">
      <c r="A1518" s="1">
        <v>4.0</v>
      </c>
      <c r="B1518" s="1" t="s">
        <v>1511</v>
      </c>
      <c r="C1518" t="str">
        <f>IFERROR(__xludf.DUMMYFUNCTION("GOOGLETRANSLATE(B1518, ""fr"", ""en"")"),"compliant product for its price it absorbs well and does not tear too fast")</f>
        <v>compliant product for its price it absorbs well and does not tear too fast</v>
      </c>
    </row>
    <row r="1519">
      <c r="A1519" s="1">
        <v>5.0</v>
      </c>
      <c r="B1519" s="1" t="s">
        <v>1512</v>
      </c>
      <c r="C1519" t="str">
        <f>IFERROR(__xludf.DUMMYFUNCTION("GOOGLETRANSLATE(B1519, ""fr"", ""en"")"),"Good product I use it for the first time to do my laundry home is a good product")</f>
        <v>Good product I use it for the first time to do my laundry home is a good product</v>
      </c>
    </row>
    <row r="1520">
      <c r="A1520" s="1">
        <v>5.0</v>
      </c>
      <c r="B1520" s="1" t="s">
        <v>1513</v>
      </c>
      <c r="C1520" t="str">
        <f>IFERROR(__xludf.DUMMYFUNCTION("GOOGLETRANSLATE(B1520, ""fr"", ""en"")"),"Perfect ! It was in this shop I found the best price for my product was shipped very quickly and very well protected. It's everything I expected better, perfect!")</f>
        <v>Perfect ! It was in this shop I found the best price for my product was shipped very quickly and very well protected. It's everything I expected better, perfect!</v>
      </c>
    </row>
    <row r="1521">
      <c r="A1521" s="1">
        <v>5.0</v>
      </c>
      <c r="B1521" s="1" t="s">
        <v>1514</v>
      </c>
      <c r="C1521" t="str">
        <f>IFERROR(__xludf.DUMMYFUNCTION("GOOGLETRANSLATE(B1521, ""fr"", ""en"")"),"unbeatable price-quality ratio Cheaper than puma.fr or other very good quality shops")</f>
        <v>unbeatable price-quality ratio Cheaper than puma.fr or other very good quality shops</v>
      </c>
    </row>
    <row r="1522">
      <c r="A1522" s="1">
        <v>5.0</v>
      </c>
      <c r="B1522" s="1" t="s">
        <v>1515</v>
      </c>
      <c r="C1522" t="str">
        <f>IFERROR(__xludf.DUMMYFUNCTION("GOOGLETRANSLATE(B1522, ""fr"", ""en"")"),"CARDBOARD 20 INKCARTRIDGES Very good ink cartridges. shipping carton Beware too tight: it had to be reattached to the carrier's premises. It is better to send two boxes of 10 grouped.")</f>
        <v>CARDBOARD 20 INKCARTRIDGES Very good ink cartridges. shipping carton Beware too tight: it had to be reattached to the carrier's premises. It is better to send two boxes of 10 grouped.</v>
      </c>
    </row>
    <row r="1523">
      <c r="A1523" s="1">
        <v>5.0</v>
      </c>
      <c r="B1523" s="1" t="s">
        <v>1516</v>
      </c>
      <c r="C1523" t="str">
        <f>IFERROR(__xludf.DUMMYFUNCTION("GOOGLETRANSLATE(B1523, ""fr"", ""en"")"),"top very good quality / price")</f>
        <v>top very good quality / price</v>
      </c>
    </row>
    <row r="1524">
      <c r="A1524" s="1">
        <v>5.0</v>
      </c>
      <c r="B1524" s="1" t="s">
        <v>1517</v>
      </c>
      <c r="C1524" t="str">
        <f>IFERROR(__xludf.DUMMYFUNCTION("GOOGLETRANSLATE(B1524, ""fr"", ""en"")"),"Grand validated and not ugly.")</f>
        <v>Grand validated and not ugly.</v>
      </c>
    </row>
    <row r="1525">
      <c r="A1525" s="1">
        <v>5.0</v>
      </c>
      <c r="B1525" s="1" t="s">
        <v>1518</v>
      </c>
      <c r="C1525" t="str">
        <f>IFERROR(__xludf.DUMMYFUNCTION("GOOGLETRANSLATE(B1525, ""fr"", ""en"")"),"Make the brightness in white linen White linen turned gray has regained its luster very satisfied with this product.")</f>
        <v>Make the brightness in white linen White linen turned gray has regained its luster very satisfied with this product.</v>
      </c>
    </row>
    <row r="1526">
      <c r="A1526" s="1">
        <v>5.0</v>
      </c>
      <c r="B1526" s="1" t="s">
        <v>1519</v>
      </c>
      <c r="C1526" t="str">
        <f>IFERROR(__xludf.DUMMYFUNCTION("GOOGLETRANSLATE(B1526, ""fr"", ""en"")"),"awesome that leggings can be worn as pants or track pants, fits very well physically, does not slip, like many in the machine!")</f>
        <v>awesome that leggings can be worn as pants or track pants, fits very well physically, does not slip, like many in the machine!</v>
      </c>
    </row>
    <row r="1527">
      <c r="A1527" s="1">
        <v>5.0</v>
      </c>
      <c r="B1527" s="1" t="s">
        <v>1520</v>
      </c>
      <c r="C1527" t="str">
        <f>IFERROR(__xludf.DUMMYFUNCTION("GOOGLETRANSLATE(B1527, ""fr"", ""en"")"),"Hello boots super happy with my purchase, my son is happy !!! garden for walks and crafts, fine finish and good product! thank you")</f>
        <v>Hello boots super happy with my purchase, my son is happy !!! garden for walks and crafts, fine finish and good product! thank you</v>
      </c>
    </row>
    <row r="1528">
      <c r="A1528" s="1">
        <v>5.0</v>
      </c>
      <c r="B1528" s="1" t="s">
        <v>1521</v>
      </c>
      <c r="C1528" t="str">
        <f>IFERROR(__xludf.DUMMYFUNCTION("GOOGLETRANSLATE(B1528, ""fr"", ""en"")"),"perfect and comfortable it is perfect, good size and is very comfortable to wear. I highly recommend it. I have not regretted my purchase")</f>
        <v>perfect and comfortable it is perfect, good size and is very comfortable to wear. I highly recommend it. I have not regretted my purchase</v>
      </c>
    </row>
    <row r="1529">
      <c r="A1529" s="1">
        <v>5.0</v>
      </c>
      <c r="B1529" s="1" t="s">
        <v>1522</v>
      </c>
      <c r="C1529" t="str">
        <f>IFERROR(__xludf.DUMMYFUNCTION("GOOGLETRANSLATE(B1529, ""fr"", ""en"")"),"A smell of clean 1 carton for a big machine (my machine is a 7 kilos) ... I did not believe too. Especially since my linen was dirty veeeeeery. In short, 6-7 kg of heavily soiled laundry, a ""&amp; nbsp; mixed &amp; nbsp;"" program at 30 degrees, a carton of laun"&amp;"dry and my clothes came out nickel bonus, a clean smell (yes, I know it ' is weird to talk about smell clean 🙄🤔) ... I was saying wITH sMELL cLEAN. In addition, the box is very convenient. I just love it")</f>
        <v>A smell of clean 1 carton for a big machine (my machine is a 7 kilos) ... I did not believe too. Especially since my linen was dirty veeeeeery. In short, 6-7 kg of heavily soiled laundry, a "&amp; nbsp; mixed &amp; nbsp;" program at 30 degrees, a carton of laundry and my clothes came out nickel bonus, a clean smell (yes, I know it ' is weird to talk about smell clean 🙄🤔) ... I was saying wITH sMELL cLEAN. In addition, the box is very convenient. I just love it</v>
      </c>
    </row>
    <row r="1530">
      <c r="A1530" s="1">
        <v>5.0</v>
      </c>
      <c r="B1530" s="1" t="s">
        <v>1523</v>
      </c>
      <c r="C1530" t="str">
        <f>IFERROR(__xludf.DUMMYFUNCTION("GOOGLETRANSLATE(B1530, ""fr"", ""en"")"),"Beautiful! Comfortable and pretty, they lend themselves very well to a casual outfit. At a price defying all competition. I recommend!")</f>
        <v>Beautiful! Comfortable and pretty, they lend themselves very well to a casual outfit. At a price defying all competition. I recommend!</v>
      </c>
    </row>
    <row r="1531">
      <c r="A1531" s="1">
        <v>5.0</v>
      </c>
      <c r="B1531" s="1" t="s">
        <v>1524</v>
      </c>
      <c r="C1531" t="str">
        <f>IFERROR(__xludf.DUMMYFUNCTION("GOOGLETRANSLATE(B1531, ""fr"", ""en"")"),"Meets Very beautiful bracelet, which has the described effects. Yet I could not believe it too ... I left the most!")</f>
        <v>Meets Very beautiful bracelet, which has the described effects. Yet I could not believe it too ... I left the most!</v>
      </c>
    </row>
    <row r="1532">
      <c r="A1532" s="1">
        <v>5.0</v>
      </c>
      <c r="B1532" s="1" t="s">
        <v>1525</v>
      </c>
      <c r="C1532" t="str">
        <f>IFERROR(__xludf.DUMMYFUNCTION("GOOGLETRANSLATE(B1532, ""fr"", ""en"")"),"See in terms of resistance arches Nothing wrong developments in terms of bruut reduction compared to the old model, remains to be seen what happens in terms of durability as the previous model on the very fragile rn structure fart under 2 years not terrib"&amp;"le")</f>
        <v>See in terms of resistance arches Nothing wrong developments in terms of bruut reduction compared to the old model, remains to be seen what happens in terms of durability as the previous model on the very fragile rn structure fart under 2 years not terrible</v>
      </c>
    </row>
    <row r="1533">
      <c r="A1533" s="1">
        <v>5.0</v>
      </c>
      <c r="B1533" s="1" t="s">
        <v>1526</v>
      </c>
      <c r="C1533" t="str">
        <f>IFERROR(__xludf.DUMMYFUNCTION("GOOGLETRANSLATE(B1533, ""fr"", ""en"")"),"Super Received shows the watch in due time. Same description.")</f>
        <v>Super Received shows the watch in due time. Same description.</v>
      </c>
    </row>
    <row r="1534">
      <c r="A1534" s="1">
        <v>2.0</v>
      </c>
      <c r="B1534" s="1" t="s">
        <v>1527</v>
      </c>
      <c r="C1534" t="str">
        <f>IFERROR(__xludf.DUMMYFUNCTION("GOOGLETRANSLATE(B1534, ""fr"", ""en"")"),"counterfeiting counterfeiting")</f>
        <v>counterfeiting counterfeiting</v>
      </c>
    </row>
    <row r="1535">
      <c r="A1535" s="1">
        <v>1.0</v>
      </c>
      <c r="B1535" s="1" t="s">
        <v>1528</v>
      </c>
      <c r="C1535" t="str">
        <f>IFERROR(__xludf.DUMMYFUNCTION("GOOGLETRANSLATE(B1535, ""fr"", ""en"")"),"HS engine after a month Certainly handy for mixing infant formula thickened, but cleaning is tricky if you do not want to distort the mixer shaft that twists despite tracking manual recommendations. Big negative: the small mixer motor died after a month o"&amp;"f use!")</f>
        <v>HS engine after a month Certainly handy for mixing infant formula thickened, but cleaning is tricky if you do not want to distort the mixer shaft that twists despite tracking manual recommendations. Big negative: the small mixer motor died after a month of use!</v>
      </c>
    </row>
    <row r="1536">
      <c r="A1536" s="1">
        <v>1.0</v>
      </c>
      <c r="B1536" s="1" t="s">
        <v>1529</v>
      </c>
      <c r="C1536" t="str">
        <f>IFERROR(__xludf.DUMMYFUNCTION("GOOGLETRANSLATE(B1536, ""fr"", ""en"")"),"Poor recommendation from Amazon This product is not suitable for micro USB NT I bought. Unable to mount the microphone pop shield on the support, and no access to micro control buttons when mounted on the support. Amazon thank you for making me spend my m"&amp;"oney for nothing")</f>
        <v>Poor recommendation from Amazon This product is not suitable for micro USB NT I bought. Unable to mount the microphone pop shield on the support, and no access to micro control buttons when mounted on the support. Amazon thank you for making me spend my money for nothing</v>
      </c>
    </row>
    <row r="1537">
      <c r="A1537" s="1">
        <v>3.0</v>
      </c>
      <c r="B1537" s="1" t="s">
        <v>1530</v>
      </c>
      <c r="C1537" t="str">
        <f>IFERROR(__xludf.DUMMYFUNCTION("GOOGLETRANSLATE(B1537, ""fr"", ""en"")"),"Very pretty painful but well-cut shoe (I do a 37/38 I took a 38), very pretty, really white. Big negative: they keep evil at the heel and slip walking creating a permanent friction and blisters that come with it. To plan for the first week: dressing and p"&amp;"atience")</f>
        <v>Very pretty painful but well-cut shoe (I do a 37/38 I took a 38), very pretty, really white. Big negative: they keep evil at the heel and slip walking creating a permanent friction and blisters that come with it. To plan for the first week: dressing and patience</v>
      </c>
    </row>
    <row r="1538">
      <c r="A1538" s="1">
        <v>3.0</v>
      </c>
      <c r="B1538" s="1" t="s">
        <v>1531</v>
      </c>
      <c r="C1538" t="str">
        <f>IFERROR(__xludf.DUMMYFUNCTION("GOOGLETRANSLATE(B1538, ""fr"", ""en"")"),"A little disappointed .. Bad for the price I was not expecting the best of the best quality .. But I still hoped a little better. The helmet seems fragile, and the sound is not great. Anyway to view the price I would still recommend")</f>
        <v>A little disappointed .. Bad for the price I was not expecting the best of the best quality .. But I still hoped a little better. The helmet seems fragile, and the sound is not great. Anyway to view the price I would still recommend</v>
      </c>
    </row>
    <row r="1539">
      <c r="A1539" s="1">
        <v>4.0</v>
      </c>
      <c r="B1539" s="1" t="s">
        <v>1532</v>
      </c>
      <c r="C1539" t="str">
        <f>IFERROR(__xludf.DUMMYFUNCTION("GOOGLETRANSLATE(B1539, ""fr"", ""en"")"),"Very good product and value. Great for paper key mobile phone and even times sandwich.")</f>
        <v>Very good product and value. Great for paper key mobile phone and even times sandwich.</v>
      </c>
    </row>
    <row r="1540">
      <c r="A1540" s="1">
        <v>4.0</v>
      </c>
      <c r="B1540" s="1" t="s">
        <v>1533</v>
      </c>
      <c r="C1540" t="str">
        <f>IFERROR(__xludf.DUMMYFUNCTION("GOOGLETRANSLATE(B1540, ""fr"", ""en"")"),"Very nice but very narrow Size Size very tight, so somehow smaller. Depending on your kick and width of the foot, order a half or even two sizes bigger. Otherwise very comfortable and good support. Too bad it made in Southeast Asia.")</f>
        <v>Very nice but very narrow Size Size very tight, so somehow smaller. Depending on your kick and width of the foot, order a half or even two sizes bigger. Otherwise very comfortable and good support. Too bad it made in Southeast Asia.</v>
      </c>
    </row>
    <row r="1541">
      <c r="A1541" s="1">
        <v>4.0</v>
      </c>
      <c r="B1541" s="1" t="s">
        <v>1534</v>
      </c>
      <c r="C1541" t="str">
        <f>IFERROR(__xludf.DUMMYFUNCTION("GOOGLETRANSLATE(B1541, ""fr"", ""en"")"),"Ravi Good quality!")</f>
        <v>Ravi Good quality!</v>
      </c>
    </row>
    <row r="1542">
      <c r="A1542" s="1">
        <v>4.0</v>
      </c>
      <c r="B1542" s="1" t="s">
        <v>1535</v>
      </c>
      <c r="C1542" t="str">
        <f>IFERROR(__xludf.DUMMYFUNCTION("GOOGLETRANSLATE(B1542, ""fr"", ""en"")"),"Very good but beware end up Respects compatibility promised by the manufacturer. The aesthetics of the microphone is very beautiful. However, the refinement are not very beautiful, some son beyond. This still remains a very good product.")</f>
        <v>Very good but beware end up Respects compatibility promised by the manufacturer. The aesthetics of the microphone is very beautiful. However, the refinement are not very beautiful, some son beyond. This still remains a very good product.</v>
      </c>
    </row>
    <row r="1543">
      <c r="A1543" s="1">
        <v>5.0</v>
      </c>
      <c r="B1543" s="1" t="s">
        <v>1536</v>
      </c>
      <c r="C1543" t="str">
        <f>IFERROR(__xludf.DUMMYFUNCTION("GOOGLETRANSLATE(B1543, ""fr"", ""en"")"),"Really not bad. Works perfectly on my EPSON DWF 2650. Indeed the printer detects that are not brand cartridges but suffice to say we want to still continue. The color quality is clearly not as good as the original but good cartridges when prints only in b"&amp;"lack and white, for the price we must not deprive yourself.")</f>
        <v>Really not bad. Works perfectly on my EPSON DWF 2650. Indeed the printer detects that are not brand cartridges but suffice to say we want to still continue. The color quality is clearly not as good as the original but good cartridges when prints only in black and white, for the price we must not deprive yourself.</v>
      </c>
    </row>
    <row r="1544">
      <c r="A1544" s="1">
        <v>5.0</v>
      </c>
      <c r="B1544" s="1" t="s">
        <v>1537</v>
      </c>
      <c r="C1544" t="str">
        <f>IFERROR(__xludf.DUMMYFUNCTION("GOOGLETRANSLATE(B1544, ""fr"", ""en"")"),"low printing money Edit to 18 November: Unlike many negative opinion on the product, I have since May, I made 314 printing and there is always me 64% ink. Knowing that I print all my bills with the logo, so with my use frankly I think is not far from 1k p"&amp;"ages without too many problems. End of May: We find the quality of Samsung toner, as is is one, it works well, has a real good printability, unlike compatible products, and it does not bleed. Great")</f>
        <v>low printing money Edit to 18 November: Unlike many negative opinion on the product, I have since May, I made 314 printing and there is always me 64% ink. Knowing that I print all my bills with the logo, so with my use frankly I think is not far from 1k pages without too many problems. End of May: We find the quality of Samsung toner, as is is one, it works well, has a real good printability, unlike compatible products, and it does not bleed. Great</v>
      </c>
    </row>
    <row r="1545">
      <c r="A1545" s="1">
        <v>5.0</v>
      </c>
      <c r="B1545" s="1" t="s">
        <v>1538</v>
      </c>
      <c r="C1545" t="str">
        <f>IFERROR(__xludf.DUMMYFUNCTION("GOOGLETRANSLATE(B1545, ""fr"", ""en"")"),"Socks Nike Super fast I recommend")</f>
        <v>Socks Nike Super fast I recommend</v>
      </c>
    </row>
    <row r="1546">
      <c r="A1546" s="1">
        <v>5.0</v>
      </c>
      <c r="B1546" s="1" t="s">
        <v>1539</v>
      </c>
      <c r="C1546" t="str">
        <f>IFERROR(__xludf.DUMMYFUNCTION("GOOGLETRANSLATE(B1546, ""fr"", ""en"")"),"Design quality product and quality of the incredible case.")</f>
        <v>Design quality product and quality of the incredible case.</v>
      </c>
    </row>
    <row r="1547">
      <c r="A1547" s="1">
        <v>5.0</v>
      </c>
      <c r="B1547" s="1" t="s">
        <v>1540</v>
      </c>
      <c r="C1547" t="str">
        <f>IFERROR(__xludf.DUMMYFUNCTION("GOOGLETRANSLATE(B1547, ""fr"", ""en"")"),"Quilt super buy for the winter because I am extremely cautious in points I have to sleep with 2 hot water bottle. I was tired of the made the evening so I opted for the option of the electric blanket. We have a 2x80 bed blow coverage is just on my bed my "&amp;"husband saw appreciate always warm him. Gray dimension is soft which is very nice I love. The H in the case is the maximum power. The cover is heated in 1 hour after she put 1. Easy to use the first time. I think personally I could do without it I love it")</f>
        <v>Quilt super buy for the winter because I am extremely cautious in points I have to sleep with 2 hot water bottle. I was tired of the made the evening so I opted for the option of the electric blanket. We have a 2x80 bed blow coverage is just on my bed my husband saw appreciate always warm him. Gray dimension is soft which is very nice I love. The H in the case is the maximum power. The cover is heated in 1 hour after she put 1. Easy to use the first time. I think personally I could do without it I love it</v>
      </c>
    </row>
    <row r="1548">
      <c r="A1548" s="1">
        <v>5.0</v>
      </c>
      <c r="B1548" s="1" t="s">
        <v>1541</v>
      </c>
      <c r="C1548" t="str">
        <f>IFERROR(__xludf.DUMMYFUNCTION("GOOGLETRANSLATE(B1548, ""fr"", ""en"")"),"Great for multiple uses &lt;div id = ""video-block-R1GT9H3CYH16DA"" class = ""a-section-spacing-small in-spacing-top mini video-block""&gt; &lt;div tabindex = ""0"" class = ""airy airy-svg vmin-supported airy-skin-beacon ""style ="" background-color: rgb (0, 0, 0)"&amp;"; position: relative; width: 100%; height: 100%; font-size: 0px; overflow: hidden; outline: none; ""&gt; &lt;div class ="" airy-renderer-container ""style ="" position: relative; height: 100%; width: 100%; ""&gt; &lt;video id ="" 7 ""preload ="" auto "" src = ""https"&amp;"://images-eu.ssl-images-amazon.com/images/I/B163CipKONS.mp4"" style = ""position: absolute; left: 0px; top: 0px; overflow: hidden; height: 1px; width: 1px; ""&gt; &lt;/ video&gt; &lt;/ div&gt; &lt;div id ="" airy-slate-preload ""style ="" background-color: rgb (0, 0, 0); b"&amp;"ackground-image: url (&amp; quot; https : //images-eu.ssl-images-amazon.com/images/I/91vaBEfmJYS.png&amp;quot;); background-size: contain; background-position: center center; background-repeat: no-repeat; position: absolute; top: 0px; left: 0px; visibility: visib"&amp;"le; width: 100%; height: 100% ""&gt; &lt;/ di v&gt; &lt;iframe scrolling = ""no"" frameborder = ""0"" src = ""about: blank"" style = ""display: none;""&gt; &lt;/ iframe&gt; &lt;div tabindex = ""- 1"" class = ""airy-controls-container ""style ="" opacity: 0; visibility: hidden; "&amp;"""&gt; &lt;div tabindex ="" - 1 ""class ="" airy-screen-size-toggle airy-fullscreen ""&gt; &lt;/ div&gt; &lt;div tabindex ="" - 1 ""class ="" airy-container-bottom "" &gt; &lt;div tabindex = ""- 1"" class = ""airy-track-bar spacer-left"" style = ""width: 11px;""&gt; &lt;/ div&gt; &lt;div ta"&amp;"bindex = ""- 1"" class = ""airy-play- toggle airy-play ""style ="" width: 12px; margin-right: 12px; ""&gt; &lt;/ div&gt; &lt;div tabindex ="" - 1 ""class ="" airy-audio-elements ""style ="" float: right; width: 34px; ""&gt; &lt;div tabindex ="" - 1 ""class ="" airy-audio-t"&amp;"oggle airy-on ""&gt; &lt;/ div&gt; &lt;div tabindex ="" - 1 ""class ="" airy-audio-container ""style = ""opacity: 0; visibility: hidden; ""&gt; &lt;div tabindex ="" - 1 ""class ="" airy-audio-track-bar ""style ="" height: 80%; ""&gt; &lt;div tabindex ="" - 1 ""class ="" airy-aud"&amp;"io- scrubber bar ""style ="" height: 85% ""&gt; &lt;/ div&gt; &lt;div tabindex ="" - 1 ""class ="" airy-audio-scrubber ""style ="" height: 12px; bottom: 85% ""&gt; &lt;/ div&gt; &lt;/ div&gt; &lt;/ div&gt; &lt;/ div&gt; &lt;div tabindex ="" - 1 ""class ="" airy-duration-label ""style ="" float: r"&amp;"ight; width: 26px; margin-right: 4px; text-align: center; ""&gt; 0:41 &lt;/ div&gt; &lt;div tabindex ="" - 1 ""class ="" airy-track-bar spacer-right ""style ="" float: right; width: 11px; ""&gt; &lt;/ div&gt; &lt;div tabindex ="" - 1 ""class ="" airy-track-bar-container ""style "&amp;"="" margin-left: 35px; margin-right: 75px; ""&gt; &lt;div tabindex ="" - 1 ""class ="" airy-track-bar airy-vertical-centering-table ""&gt; &lt;div tabindex ="" - 1 ""class ="" airy-vertical-centering- table-cell ""&gt; &lt;div tabindex ="" - 1 ""class ="" airy-track-bar el"&amp;"ements ""&gt; &lt;div tabindex ="" - 1 ""class ="" airy-progress-bar ""style ="" width: 5.83201%; ""&gt; &lt;/ div&gt; &lt;div tabindex ="" - 1 ""class ="" airy-scrubber bar ""&gt; &lt;/ div&gt; &lt;div tabindex ="" - 1 ""class ="" airy-scrubber ""&gt; &lt;div tabindex ="" - 1 ""class ="" a"&amp;"iry-scrubber-icon ""&gt; &lt;/ div&gt; &lt;div tabindex ="" - 1 ""class ="" airy-adjusted-aui-tooltip ""style ="" opacity: 0; visibility: hidden; ""&gt; &lt;div tabindex ="" - 1 ""class ="" airy-adjusted-aui-tooltip-inner ""&gt; &lt;div tabindex ="" - 1 ""class ="" airy-current-"&amp;"time-label ""&gt; 0 00 &lt;/ div&gt; &lt;/ div&gt; &lt;div tabindex = ""- 1"" class = ""airy-adjusted-aui-arrow-border""&gt; &lt;div tabindex = ""- 1"" class = ""airy-adjusted-aui-arrow"" &gt; &lt;/ div&gt; &lt;/ div&gt; &lt;/ div&gt; &lt;/ div&gt; &lt;/ div&gt; &lt;/ div&gt; &lt;/ div&gt; &lt;/ div&gt; &lt;/ div&gt; &lt;/ div&gt; &lt;div tabi"&amp;"ndex = ""- 1"" class = ""airy-airy-age-gate course airy-vertical-centering table-airy-dialog"" style = ""opacity: 0; visibility: hidden; ""&gt; &lt;div tabindex ="" - 1 ""class ="" airy-age-gate-vertical-centering-table-cell airy-vertical-centering-table-cell "&amp;"""&gt; &lt;div tabindex ="" - 1 ""class = ""airy-vertical-centering-wrapper airy-age-gate-elements-wrapper""&gt; &lt;div tabindex = ""- 1"" class = ""airy-age-gate-elements airy-dialog-elements""&gt; &lt;div tabindex = "" -1 ""class ="" airy-age-gate-prompt ""&gt; This video "&amp;"is not Intended for all audiences What time were you born &lt;/ div&gt; &lt;div tabindex =.?"" - 1 ""class ="" airy-age-gate -inputs airy-dialog-inner-elements ""&gt; &lt;select tabindex ="" - 1 ""class ="" airy-age-gate-month ""&gt; &lt;option value ="" 1 ""&gt; January &lt;/ opti"&amp;"on&gt; &lt;option value ="" 2 ""&gt; February &lt;/ option&gt; &lt;option value ="" 3 ""&gt; March &lt;/ option&gt; &lt;option value ="" 4 ""&gt; April &lt;/ option&gt; &lt;option value ="" 5 ""&gt; May &lt;/ option&gt; &lt;option value = ""6""&gt; June &lt;/ option&gt; &lt;option value = ""7""&gt; July &lt;/ option&gt; &lt;option "&amp;"value = ""8""&gt; August &lt;/ option&gt; &lt;option value = ""9""&gt; September &lt;/ option&gt; &lt;option value = ""10""&gt; October &lt;/ option&gt; &lt;option value = ""11""&gt; November &lt;/ option&gt; &lt;option value = ""12""&gt; December &lt;/ option&gt; &lt;/ select&gt; &lt;select tabindex = ""- 1"" class = "&amp;"""airy-age-gate-day""&gt; &lt;opti = One value ""1""&gt; 1 &lt;/ option&gt; &lt;option value = ""2""&gt; 2 &lt;/ option&gt; &lt;option value = ""3""&gt; 3 &lt;/ option&gt; &lt;option value = ""4""&gt; 4 &lt;/ option &gt; &lt;option value = ""5""&gt; 5 &lt;/ option&gt; &lt;option value = ""6""&gt; 6 &lt;/ option&gt; &lt;option value"&amp;" = ""7""&gt; 7 &lt;/ option&gt; &lt;option value = ""8""&gt; 8 &lt; / option&gt; &lt;option value = ""9""&gt; 9 &lt;/ option&gt; &lt;option value = ""10""&gt; 10 &lt;/ option&gt; &lt;option value = ""11""&gt; 11 &lt;/ option&gt; &lt;option value = ""12""&gt; 12 &lt;/ option&gt; &lt;option value = ""13""&gt; 13 &lt;/ option&gt; &lt;option"&amp;" value = ""14""&gt; 14 &lt;/ option&gt; &lt;option value = ""15""&gt; 15 &lt;/ option&gt; &lt;option value = ""16 ""&gt; 16 &lt;/ option&gt; &lt;option value ="" 17 ""&gt; 17 &lt;/ option&gt; &lt;option value ="" 18 ""&gt; 18 &lt;/ option&gt; &lt;option value ="" 19 ""&gt; 19 &lt;/ option&gt; &lt;option value = ""20""&gt; 20 &lt;/ "&amp;"option&gt; &lt;option value = ""21""&gt; 21 &lt;/ option&gt; &lt;option value = ""22""&gt; 22 &lt;/ option&gt; &lt;option value = ""23""&gt; 23 &lt;/ option&gt; &lt;option value = ""24""&gt; 24 &lt;/ option&gt; &lt;option value = ""25""&gt; 25 &lt;/ option&gt; &lt;option value = ""26""&gt; 26 &lt;/ option&gt; &lt;option value = ""2"&amp;"7""&gt; 27 &lt;/ option&gt; &lt;option value = ""28""&gt; 28 &lt;/ option&gt; &lt;option value = ""29""&gt; 29 &lt;/ option&gt; &lt;option value = ""30""&gt; 30 &lt;/ option&gt; &lt;option value = ""31""&gt; 31 &lt;/ option&gt; &lt;/ select&gt; &lt;select tabindex = ""- 1"" class = ""airy-age-gate-year""&gt; &lt;option value "&amp;"= ""2019""&gt; 2019 &lt;/ option&gt; &lt; option value = ""2018""&gt; 2018 &lt;/ option&gt; &lt;option value = ""2017""&gt; 2017 &lt;/ option&gt; &lt;option value = ""2016""&gt; ​​2016 &lt;/ option&gt; &lt;option value = ""2015""&gt; 2015 &lt;/ option &gt; &lt;option value = ""2014""&gt; 2014 &lt;/ option&gt; &lt;option value"&amp;" = ""2013""&gt; 2013 &lt;/ option&gt; &lt;option value = ""2012""&gt; 2012 &lt;/ option&gt; &lt;option value = ""2011""&gt; 2011 &lt; / option&gt; &lt;option value = ""2010""&gt; 2010 &lt;/ option&gt; &lt;option value = ""2009""&gt; 2009 &lt;/ option&gt; &lt;option value = ""2008""&gt; 2008 &lt;/ option&gt; &lt;option value ="&amp;" ""2007""&gt; 2007 &lt;/ option&gt; &lt;option value = ""2006""&gt; 2006 &lt;/ option&gt; &lt;option value = ""2005""&gt; 2005 &lt;/ option&gt; &lt;option value = ""2004""&gt; 2004 &lt;/ option&gt; &lt;option value = ""2003 ""&gt; 2003 &lt;/ option&gt; &lt;option value ="" 2002 ""&gt; 2002 &lt;/ option&gt; &lt;option value ="&amp;""" 2001 ""&gt; 2001 &lt;/ option&gt; &lt;option value ="" 2000 ""&gt; 2000 &lt;/ option&gt; &lt;option value = ""1999""&gt; 1999 &lt;/ option&gt; &lt;option value = ""1998""&gt; 1998 &lt;/ option&gt; &lt;option value = ""1997""&gt; 1997 &lt;/ option&gt; &lt;option value = ""1996""&gt; 1996 &lt;/ option&gt; &lt;option value = "&amp;"""1995""&gt; 1995 &lt;/ option&gt; &lt;option value = ""1994""&gt; 1994 &lt;/ option&gt; &lt;option value = ""1993""&gt; 1993 &lt;/ option&gt; &lt;option value = ""1992""&gt; 1992 &lt;/ option&gt; &lt;option value = ""1991""&gt; 1991 &lt;/ option&gt; &lt;option value = ""1990""&gt; 1990 &lt;/ option&gt; &lt;option value = "" "&amp;"1989 ""&gt; 1989 &lt;/ option&gt; &lt;option value ="" 1988 ""&gt; 1988 &lt;/ option&gt; &lt;option value ="" 1987 ""&gt; 1987 &lt;/ option&gt; &lt;option value ="" 1986 ""&gt; 1986 &lt;/ option&gt; &lt;option value = ""1985""&gt; 1985 &lt;/ option&gt; &lt;option value = ""1984""&gt; 1984 &lt;/ option&gt; &lt;option value = "&amp;"""1983""&gt; 1983 &lt;/ option&gt; &lt;option value = ""1982""&gt; 1982 &lt;/ option&gt; &lt; option value = ""1981""&gt; 1981 &lt;/ option&gt; &lt;option value = ""1980""&gt; 1980 &lt;/ option&gt; &lt;option value = ""1979""&gt; 1979 &lt;/ option&gt; &lt;option value = ""1978""&gt; 1978 &lt;/ option &gt; &lt;option value = "&amp;"""1977""&gt; 1977 &lt;/ option&gt; &lt;option value = ""1976""&gt; 1976 &lt;/ option&gt; &lt;option value = ""1975""&gt; 1975 &lt;/ option&gt; &lt;option value = ""1974""&gt; 1974 &lt; / option&gt; &lt;option value = ""1973""&gt; 1973 &lt;/ option&gt; &lt;option value = ""1972""&gt; 1972 &lt;/ option&gt; &lt;option value = """&amp;"1971""&gt; 1971 &lt;/ option&gt; &lt;option value = ""1970""&gt; 1970 &lt;/ option&gt; &lt;option value = ""1969""&gt; 1969 &lt;/ option&gt; &lt;option value = ""1968""&gt; 1968 &lt;/ option&gt; &lt;option value = ""1967""&gt; 1967 &lt;/ option&gt; &lt;option value = ""1966 ""&gt; 1966 &lt;/ option&gt; &lt;option value ="" 19"&amp;"65 ""&gt; 1965 &lt;/ option&gt; &lt;option value ="" 1964 ""&gt; 1964 &lt;/ option&gt; &lt;option value ="" 1963 ""&gt; 1963 &lt;/ option&gt; &lt;option value = ""1962""&gt; 1962 &lt;/ option&gt; &lt;option value = ""1961""&gt; 1961 &lt;/ option&gt; &lt;option value = ""1960""&gt; 1960 &lt;/ op tion&gt; &lt;option value = ""1"&amp;"959""&gt; 1959 &lt;/ option&gt; &lt;option value = ""1958""&gt; 1958 &lt;/ option&gt; &lt;option value = ""1957""&gt; 1957 &lt;/ option&gt; &lt;option value = ""1956""&gt; 1956 &lt;/ option&gt; &lt;option value = ""1955""&gt; 1955 &lt;/ option&gt; &lt;option value = ""1954""&gt; 1954 &lt;/ option&gt; &lt;option value = ""1953"&amp;"""&gt; 1953 &lt;/ option&gt; &lt;option value = ""1952"" &gt; 1952 &lt;/ option&gt; &lt;option value = ""1951""&gt; 1951 &lt;/ option&gt; &lt;option value = ""1950""&gt; 1950 &lt;/ option&gt; &lt;option value = ""1949""&gt; 1949 &lt;/ option&gt; &lt;option value = "" 1948 ""&gt; 1948 &lt;/ option&gt; &lt;option value ="" 1947"&amp;" ""&gt; 1947 &lt;/ option&gt; &lt;option value ="" 1946 ""&gt; 1946 &lt;/ option&gt; &lt;option value ="" 1945 ""&gt; 1945 &lt;/ option&gt; &lt;option value = ""1944""&gt; 1944 &lt;/ option&gt; &lt;option value = ""1943""&gt; 1943 &lt;/ option&gt; &lt;option value = ""1942""&gt; 1942 &lt;/ option&gt; &lt;option value = ""1941"&amp;"""&gt; 1941 &lt;/ option&gt; &lt; option value = ""1940""&gt; 1940 &lt;/ option&gt; &lt;option value = ""1939""&gt; 1939 &lt;/ option&gt; &lt;option value = ""1938""&gt; 1938 &lt;/ option&gt; &lt;option value = ""1937""&gt; 1937 &lt;/ option &gt; &lt;option value = ""1936""&gt; 1936 &lt;/ option&gt; &lt;option value = ""1935"&amp;"""&gt; 1935 &lt;/ option&gt; &lt;option value = ""1934""&gt; 1934 &lt;/ option&gt; &lt;option value = ""1933""&gt; 1933 &lt; / option&gt; &lt;option value = ""1932""&gt; 1932 &lt;/ option&gt; &lt;option value = ""1931""&gt; 1931 &lt;/ option&gt; &lt;option v alue = ""1930""&gt; 1930 &lt;/ option&gt; &lt;option value = ""1929"&amp;"""&gt; 1929 &lt;/ option&gt; &lt;option value = ""1928""&gt; 1928 &lt;/ option&gt; &lt;option value = ""1927""&gt; 1927 &lt;/ option&gt; &lt;option value = ""1926""&gt; 1926 &lt;/ option&gt; &lt;option value = ""1925""&gt; 1925 &lt;/ option&gt; &lt;option value = ""1924""&gt; 1924 &lt;/ option&gt; &lt;option value = ""1923""&gt;"&amp;" 1923 &lt;/ option&gt; &lt;option value = ""1922""&gt; 1922 &lt;/ option&gt; &lt;option value = ""1921""&gt; 1921 &lt;/ option&gt; &lt;option value = ""1920""&gt; 1920 &lt;/ option&gt; &lt;option value = ""1919""&gt; 1919 &lt;/ option&gt; &lt;option value = ""1918""&gt; 1918 &lt;/ option&gt; &lt;option value = ""1917""&gt; 19"&amp;"17 &lt;/ option&gt; &lt;option value = ""1916""&gt; 1916 &lt;/ option&gt; &lt;option value = ""1915"" &gt; 1915 &lt;/ option&gt; &lt;option value = ""1914""&gt; 1914 &lt;/ option&gt; &lt;option value = ""1913""&gt; 1913 &lt;/ option&gt; &lt;option value = ""1912""&gt; 1912 &lt;/ option&gt; &lt;option value = "" 1911 ""&gt; 19"&amp;"11 &lt;/ option&gt; &lt;option value ="" 1910 ""&gt; 1910 &lt;/ option&gt; &lt;option value ="" 1909 ""&gt; 1909 &lt;/ option&gt; &lt;option value ="" 1908 ""&gt; 1908 &lt;/ option&gt; &lt;option value = ""1907""&gt; 1907 &lt;/ option&gt; &lt;option value = ""1906""&gt; 1906 &lt;/ option&gt; &lt;option value = ""1905""&gt; 19"&amp;"05 &lt;/ option&gt; &lt;option value = ""1904""&gt; 1904 &lt;/ option&gt; &lt; option value = ""1903""&gt; 1903 &lt;/ option&gt; &lt;option value = ""1902""&gt; 1902 &lt;/ option&gt; &lt;option value = ""1901""&gt; 19 01 &lt;/ option&gt; &lt;option value = ""1900""&gt; 1900 &lt;/ option&gt; &lt;/ select&gt; &lt;div tabindex = """&amp;"- 1"" class = ""airy-age-gate-submit airy-submit-button airy airy-submit- disabled ""&gt; Submit &lt;/ div&gt; &lt;/ div&gt; &lt;/ div&gt; &lt;/ div&gt; &lt;/ div&gt; &lt;/ div&gt; &lt;div tabindex ="" - 1 ""class ="" airy-install-flash-dialog airy-course airy -Vertical-centering-table dialog air"&amp;"y-airy-denied ""style ="" opacity: 0; visibility: hidden; ""&gt; &lt;div tabindex ="" - 1 ""class ="" airy-install-flash-vertical-centering-table-cell airy-vertical-centering-table-cell ""&gt; &lt;div tabindex ="" - 1 ""class = ""airy-vertical-centering-wrapper airy-"&amp;"install-flash-elements-wrapper""&gt; &lt;div tabindex = ""- 1"" class = ""airy-install-flash-elements airy-dialog-elements""&gt; &lt;div tabindex = "" -1 ""class ="" airy-install-flash-prompt ""&gt; Adobe Flash Player is required to watch this video &lt;/ div&gt; &lt;div = tabin"&amp;"dex."" - 1 ""class ="" airy-install-flash-button-wrapper airy -dialog-inner-elements ""&gt; &lt;div tabindex ="" - 1 ""class ="" airy-install-flash-button airy-button ""&gt; install Flash Player &lt;/ div&gt; &lt;/ div&gt; &lt;/ div&gt; &lt;/ div&gt; &lt;/ div&gt; &lt;/ div&gt; &lt;div tabindex = ""- 1"&amp;""" class = ""airy-video-unsupported-dialog airy-course airy-vertical-centering table-airy-dialog airy-denied"" style = ""opacity: 0; visibility: hidden; ""&gt; &lt;div tabindex ="" - 1 ""class ="" airy-video-unsupported-vertical-centering-table-cell airy-vertic"&amp;"al-centering-table-cell ""&gt; &lt;div tabindex ="" - 1 ""class = ""airy-vertical-centering-wrapper airy-video-unsupported-elements-wrapper""&gt; &lt;div tabindex = ""- 1"" class = ""airy-video-unsupported-elements airy-dialog-elements""&gt; &lt;div tabindex = "" -1 ""clas"&amp;"s ="" airy-video-unsupported-prompt ""&gt; &lt;/ div&gt; &lt;/ div&gt; &lt;/ div&gt; &lt;/ div&gt; &lt;/ div&gt; &lt;div tabindex ="" - 1 ""class ="" airy-loading- spinner-stage airy-stage ""&gt; &lt;div tabindex ="" - 1 ""class ="" airy-loading-spinner-vertical-centering-table-cell airy-vertical"&amp;"-centering-table-cell ""&gt; &lt;div tabindex ="" - 1 ""class ="" airy-loading-spinner container airy-scalable-hint-container ""&gt; &lt;div tabindex ="" - 1 ""class ="" airy-loading-spinner-dummy airy-scalable-dummy ""&gt; &lt;/ div&gt; &lt; div tabindex = ""- 1"" class = ""air"&amp;"y-loading-spinner airy-hint"" style = ""visibility: hidden;""&gt; &lt;/ div&gt; &lt;/ div&gt; &lt;/ div&gt; &lt;/ div&gt; &lt;div tabindex = ""- 1 ""class ="" airy-ads-screen-size-toggle airy-screen-size-toggle airy-fullscreen ""style ="" visibility: hidden; ""&gt; &lt;/ div&gt; &lt;div tabindex "&amp;"= ""-1"" class = ""airy-ad-prompt-container"" style = ""visibility: hidden;""&gt; &lt;div tabindex = ""- 1"" class = ""airy-ad-prompt-vertical-centering table-airy-vertical- centering-table ""&gt; &lt;div tabindex ="" - 1 ""class ="" airy-ad-prompt-vertical-centering"&amp;"-table-cell airy-vertical-centering-table-cell ""&gt; &lt;div tabindex ="" - 1 ""class = ""airy-ad-prompt-label""&gt; &lt;/ div&gt; &lt;/ div&gt; &lt;/ div&gt; &lt;/ div&gt; &lt;div tabindex = ""- 1"" class = ""airy-ads-controls-container"" style = ""visibility: hidden; ""&gt; &lt;div tabindex ="&amp;""" - 1 ""class ="" airy-ads-audio-toggle airy-audio-toggle airy-on ""style ="" visibility: hidden; ""&gt; &lt;/ div&gt; &lt;div tabindex ="" - 1 ""class ="" airy-time-remaining-label-container ""&gt; &lt;div tabindex ="" - 1 ""class ="" airy-time-remaining-vertical-centeri"&amp;"ng table-airy-vertical-centering-table ""&gt; &lt;div tabindex = ""- 1"" class = ""airy-time-remaining-vertical-centering-table-cell airy-vertical-centering-table-cell""&gt; &lt;div tabindex = ""- 1"" class = ""airy-vertical-centering-wrapper airy-time-remaining-labe"&amp;"l-wrapper ""&gt; &lt;div tabindex ="" - 1 ""class ="" airy-time-remaining-label ""style ="" visibility: hidden; ""&gt; &lt;/ div&gt; &lt;div tabi ndex = ""- 1"" class = ""airy-ad-skip"" style = ""visibility: hidden;""&gt; &lt;/ div&gt; &lt;div tabindex = ""- 1"" class = ""airy-ad-end"&amp;""" style = ""visibility: hidden; ""&gt; &lt;/ div&gt; &lt;/ div&gt; &lt;/ div&gt; &lt;/ div&gt; &lt;/ div&gt; &lt;div tabindex ="" - 1 ""class ="" airy-learn-more ""style ="" visibility: hidden; ""&gt; &lt;/ div&gt; &lt;/ div&gt; &lt;div tabindex = ""- 1"" class = ""airy-play-toggle-hint-stage airy-course ai"&amp;"ry-cursor""&gt; &lt;div tabindex = ""- 1"" class = ""airy-play -toggle-hint-vertical-centering-table-cell airy-vertical-centering-table-cell airy-cursor ""&gt; &lt;div tabindex ="" - 1 ""class ="" airy-play-toggle-hint-container airy-scalable- hint-container ""&gt; &lt;div"&amp;" tabindex ="" - 1 ""class ="" airy-play-toggle-hint-dummy airy-scalable-dummy ""&gt; &lt;/ div&gt; &lt;div tabindex ="" - 1 ""class ="" airy-play -toggle airy-hint-hint-hint airy-play ""style ="" opacity: 1; visibility: visible; ""&gt; &lt;/ div&gt; &lt;/ div&gt; &lt;/ div&gt; &lt;/ div&gt; &lt;d"&amp;"iv tabindex ="" - 1 ""class ="" airy-replay-hint-stage airy-stage ""style ="" visibility: hidden ; ""&gt; &lt;div tabindex ="" - 1 ""class ="" airy-replay-hint-vertical-centering-table-cell airy-vertical-centering-table-cell airy-cursor ""&gt; &lt;div tabindex ="" - "&amp;"1 ""class = ""airy-replay-hint-container airy-scalable-hint-container""&gt; &lt;div tabindex = ""- 1"" class = ""airy-replay-hint-dummy airy-scalable-dummy""&gt; &lt;/ div&gt; &lt;div tabindex = ""- 1"" class = ""airy-replay-hint airy-hint""&gt; &lt;/ div&gt; &lt;/ div&gt; &lt;/ div&gt; &lt;/ div"&amp;"&gt; &lt;div tabindex = ""- 1"" class = ""airy-autoplay-hint -stage airy-stage ""style ="" visibility: hidden; ""&gt; &lt;div tabindex ="" - 1 ""class ="" airy-autoplay-hint-vertical-centering-table-cell airy-vertical-centering-table-cell airy- cursor ""&gt; &lt;div tabind"&amp;"ex ="" - 1 ""class ="" autoplay airy-airy-hint-container-scalable-hint-container ""&gt; &lt;div tabindex ="" - 1 ""class ="" airy-autoplay-hint-dummy airy- scalable-dummy ""&gt; &lt;/ div&gt; &lt;/ div&gt; &lt;/ div&gt; &lt;/ div&gt; &lt;/ div&gt; &lt;/ div&gt; &lt;input type ="" hidden ""name ="" ""va"&amp;"lue ="" https: // pictures-eu .ssl-image amazon.com / images / I / B163CipKONS.mp4 ""Class ="" video-url ""&gt; &lt;input type ="" hidden ""name ="" ""value ="" https://images-eu.ssl-images-amazon.com/images/I/91vaBEfmJYS.png ""class ="" video-slate-img-url ""&gt;"&amp;" &amp; nbsp; I will not repeat all the technical description, it is complete. This amp with 2 microphones works wonders. Connecting extremely simple, it took me 2 minutes. The settings are as simple as plugging. Adjusting the bass, trebles and Echo function. "&amp;"The two microphones each have a control button. The scope is reasonable, for my part I walked in every room of the house and no loss problem. Plugged into my stereo, do not forget the RCA Audio cable is not supplied. The microphones operate on 2 AA batter"&amp;"ies not included. The document is not in French but many scheme are explicit and no connection problem. It is compact, you can take it everywhere with or without difficulty. I who love organize karaoke at home, the fact of having two microphones used at t"&amp;"he same time is a big plus. Very little interference, virtually no feedback or sizzle. I recommend ++++")</f>
        <v>Great for multiple uses &lt;div id = "video-block-R1GT9H3CYH16DA" class = "a-section-spacing-small in-spacing-top mini video-block"&gt; &lt;div tabindex = "0" class = "airy airy-svg vmin-supported airy-skin-beacon "style =" background-color: rgb (0, 0, 0); position: relative; width: 100%; height: 100%; font-size: 0px; overflow: hidden; outline: none; "&gt; &lt;div class =" airy-renderer-container "style =" position: relative; height: 100%; width: 100%; "&gt; &lt;video id =" 7 "preload =" auto " src = "https://images-eu.ssl-images-amazon.com/images/I/B163CipKONS.mp4" style = "position: absolute; left: 0px; top: 0px; overflow: hidden; height: 1px; width: 1px; "&gt; &lt;/ video&gt; &lt;/ div&gt; &lt;div id =" airy-slate-preload "style =" background-color: rgb (0, 0, 0); background-image: url (&amp; quot; https : //images-eu.ssl-images-amazon.com/images/I/91vaBEfmJYS.png&amp;quot;); background-size: contain; background-position: center center; background-repeat: no-repeat; position: absolute; top: 0px; left: 0px; visibility: visible; width: 100%; height: 100% "&gt; &lt;/ di v&gt; &lt;iframe scrolling = "no" frameborder = "0" src = "about: blank" style = "display: none;"&gt; &lt;/ iframe&gt; &lt;div tabindex = "- 1" class = "airy-controls-container "style =" opacity: 0; visibility: hidden; "&gt; &lt;div tabindex =" - 1 "class =" airy-screen-size-toggle airy-fullscreen "&gt; &lt;/ div&gt; &lt;div tabindex =" - 1 "class =" airy-container-bottom " &gt; &lt;div tabindex = "- 1" class = "airy-track-bar spacer-left" style = "width: 11px;"&gt; &lt;/ div&gt; &lt;div tabindex = "- 1" class = "airy-play- toggle airy-play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 bar "style =" height: 85% "&gt; &lt;/ div&gt; &lt;div tabindex =" - 1 "class =" airy-audio-scrubber "style =" height: 12px; bottom: 85% "&gt; &lt;/ div&gt; &lt;/ div&gt; &lt;/ div&gt; &lt;/ div&gt; &lt;div tabindex =" - 1 "class =" airy-duration-label "style =" float: right; width: 26px; margin-right: 4px; text-align: center; "&gt; 0:41 &lt;/ div&gt; &lt;div tabindex =" - 1 "class =" airy-track-bar spacer-right "style =" float: right; width: 11px; "&gt; &lt;/ div&gt; &lt;div tabindex =" - 1 "class =" airy-track-bar-container "style =" margin-left: 35px; margin-right: 75px; "&gt; &lt;div tabindex =" - 1 "class =" airy-track-bar airy-vertical-centering-table "&gt; &lt;div tabindex =" - 1 "class =" airy-vertical-centering- table-cell "&gt; &lt;div tabindex =" - 1 "class =" airy-track-bar elements "&gt; &lt;div tabindex =" - 1 "class =" airy-progress-bar "style =" width: 5.83201%; "&gt; &lt;/ div&gt; &lt;div tabindex =" - 1 "class =" airy-scrubber bar "&gt; &lt;/ div&gt; &lt;div tabindex =" - 1 "class =" airy-scrubber "&gt; &lt;div tabindex =" - 1 "class =" airy-scrubber-icon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"airy-airy-age-gate course airy-vertical-centering table-airy-dialog"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time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 One value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&lt;option value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&lt;option value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&lt;option value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airy-course airy -Vertical-centering-table dialog airy-airy-denied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 tabindex." - 1 "class =" airy-install-flash-button-wrapper airy -dialog-inner-elements "&gt; &lt;div tabindex =" - 1 "class =" airy-install-flash-button airy-button "&gt; install Flash Player &lt;/ div&gt; &lt;/ div&gt; &lt;/ div&gt; &lt;/ div&gt; &lt;/ div&gt; &lt;/ div&gt; &lt;div tabindex = "- 1" class = "airy-video-unsupported-dialog airy-course airy-vertical-centering table-airy-dialog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 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 airy-fullscreen "style =" visibility: hidden; "&gt; &lt;/ div&gt; &lt;div tabindex = "-1" class = "airy-ad-prompt-container" style = "visibility: hidden;"&gt; &lt;div tabindex = "- 1" class = "airy-ad-prompt-vertical-centering table-airy-vertical-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 table-airy-vertical-centering-table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airy-course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 airy-hint-hint-hint airy-play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pictures-eu .ssl-image amazon.com / images / I / B163CipKONS.mp4 "Class =" video-url "&gt; &lt;input type =" hidden "name =" "value =" https://images-eu.ssl-images-amazon.com/images/I/91vaBEfmJYS.png "class =" video-slate-img-url "&gt; &amp; nbsp; I will not repeat all the technical description, it is complete. This amp with 2 microphones works wonders. Connecting extremely simple, it took me 2 minutes. The settings are as simple as plugging. Adjusting the bass, trebles and Echo function. The two microphones each have a control button. The scope is reasonable, for my part I walked in every room of the house and no loss problem. Plugged into my stereo, do not forget the RCA Audio cable is not supplied. The microphones operate on 2 AA batteries not included. The document is not in French but many scheme are explicit and no connection problem. It is compact, you can take it everywhere with or without difficulty. I who love organize karaoke at home, the fact of having two microphones used at the same time is a big plus. Very little interference, virtually no feedback or sizzle. I recommend ++++</v>
      </c>
    </row>
    <row r="1549">
      <c r="A1549" s="1">
        <v>5.0</v>
      </c>
      <c r="B1549" s="1" t="s">
        <v>1542</v>
      </c>
      <c r="C1549" t="str">
        <f>IFERROR(__xludf.DUMMYFUNCTION("GOOGLETRANSLATE(B1549, ""fr"", ""en"")"),". Faithful to the ad Quick reception")</f>
        <v>. Faithful to the ad Quick reception</v>
      </c>
    </row>
    <row r="1550">
      <c r="A1550" s="1">
        <v>5.0</v>
      </c>
      <c r="B1550" s="1" t="s">
        <v>1543</v>
      </c>
      <c r="C1550" t="str">
        <f>IFERROR(__xludf.DUMMYFUNCTION("GOOGLETRANSLATE(B1550, ""fr"", ""en"")"),"Adjustable and very pretty! Commissioned for a gift, the bracelet is adjustable, all the tools are in for removing stitches which is convenient. Bel general appearance and beautiful finishes. Meets the photo I recommend.")</f>
        <v>Adjustable and very pretty! Commissioned for a gift, the bracelet is adjustable, all the tools are in for removing stitches which is convenient. Bel general appearance and beautiful finishes. Meets the photo I recommend.</v>
      </c>
    </row>
    <row r="1551">
      <c r="A1551" s="1">
        <v>5.0</v>
      </c>
      <c r="B1551" s="1" t="s">
        <v>1544</v>
      </c>
      <c r="C1551" t="str">
        <f>IFERROR(__xludf.DUMMYFUNCTION("GOOGLETRANSLATE(B1551, ""fr"", ""en"")"),"very good sound, the sound quality is worthy of a professional equipment. The connection and adjustment are easily and quickly. The microphone works with conventional batteries much cheaper than my square piers. Good karaoke perspective.")</f>
        <v>very good sound, the sound quality is worthy of a professional equipment. The connection and adjustment are easily and quickly. The microphone works with conventional batteries much cheaper than my square piers. Good karaoke perspective.</v>
      </c>
    </row>
    <row r="1552">
      <c r="A1552" s="1">
        <v>5.0</v>
      </c>
      <c r="B1552" s="1" t="s">
        <v>1545</v>
      </c>
      <c r="C1552" t="str">
        <f>IFERROR(__xludf.DUMMYFUNCTION("GOOGLETRANSLATE(B1552, ""fr"", ""en"")"),"Minimalist for everyday life")</f>
        <v>Minimalist for everyday life</v>
      </c>
    </row>
    <row r="1553">
      <c r="A1553" s="1">
        <v>5.0</v>
      </c>
      <c r="B1553" s="1" t="s">
        <v>1546</v>
      </c>
      <c r="C1553" t="str">
        <f>IFERROR(__xludf.DUMMYFUNCTION("GOOGLETRANSLATE(B1553, ""fr"", ""en"")"),"Beautiful rosary Beautiful rosary and good quality!")</f>
        <v>Beautiful rosary Beautiful rosary and good quality!</v>
      </c>
    </row>
    <row r="1554">
      <c r="A1554" s="1">
        <v>5.0</v>
      </c>
      <c r="B1554" s="1" t="s">
        <v>1547</v>
      </c>
      <c r="C1554" t="str">
        <f>IFERROR(__xludf.DUMMYFUNCTION("GOOGLETRANSLATE(B1554, ""fr"", ""en"")"),"Ras Ras")</f>
        <v>Ras Ras</v>
      </c>
    </row>
    <row r="1555">
      <c r="A1555" s="1">
        <v>5.0</v>
      </c>
      <c r="B1555" s="1" t="s">
        <v>1548</v>
      </c>
      <c r="C1555" t="str">
        <f>IFERROR(__xludf.DUMMYFUNCTION("GOOGLETRANSLATE(B1555, ""fr"", ""en"")"),"Exellent. Very good product. Very satisfaying.")</f>
        <v>Exellent. Very good product. Very satisfaying.</v>
      </c>
    </row>
    <row r="1556">
      <c r="A1556" s="1">
        <v>5.0</v>
      </c>
      <c r="B1556" s="1" t="s">
        <v>1549</v>
      </c>
      <c r="C1556" t="str">
        <f>IFERROR(__xludf.DUMMYFUNCTION("GOOGLETRANSLATE(B1556, ""fr"", ""en"")"),"On top Basketball impeccable, fast delivery, genuine pair of lacoste")</f>
        <v>On top Basketball impeccable, fast delivery, genuine pair of lacoste</v>
      </c>
    </row>
    <row r="1557">
      <c r="A1557" s="1">
        <v>5.0</v>
      </c>
      <c r="B1557" s="1" t="s">
        <v>1550</v>
      </c>
      <c r="C1557" t="str">
        <f>IFERROR(__xludf.DUMMYFUNCTION("GOOGLETRANSLATE(B1557, ""fr"", ""en"")"),"my most very happy")</f>
        <v>my most very happy</v>
      </c>
    </row>
    <row r="1558">
      <c r="A1558" s="1">
        <v>2.0</v>
      </c>
      <c r="B1558" s="1" t="s">
        <v>1551</v>
      </c>
      <c r="C1558" t="str">
        <f>IFERROR(__xludf.DUMMYFUNCTION("GOOGLETRANSLATE(B1558, ""fr"", ""en"")"),"Please note that the heat be held ps I am disappointed by this because the heat goes fast. Only one minute of hot and what is not of great heat, Hot effect does not hold.")</f>
        <v>Please note that the heat be held ps I am disappointed by this because the heat goes fast. Only one minute of hot and what is not of great heat, Hot effect does not hold.</v>
      </c>
    </row>
    <row r="1559">
      <c r="A1559" s="1">
        <v>1.0</v>
      </c>
      <c r="B1559" s="1" t="s">
        <v>1552</v>
      </c>
      <c r="C1559" t="str">
        <f>IFERROR(__xludf.DUMMYFUNCTION("GOOGLETRANSLATE(B1559, ""fr"", ""en"")"),"Never buy I have not liked this article too many defects I would not recommend more")</f>
        <v>Never buy I have not liked this article too many defects I would not recommend more</v>
      </c>
    </row>
    <row r="1560">
      <c r="A1560" s="1">
        <v>1.0</v>
      </c>
      <c r="B1560" s="1" t="s">
        <v>1553</v>
      </c>
      <c r="C1560" t="str">
        <f>IFERROR(__xludf.DUMMYFUNCTION("GOOGLETRANSLATE(B1560, ""fr"", ""en"")"),"No Counterfeiting is the sole retire some day")</f>
        <v>No Counterfeiting is the sole retire some day</v>
      </c>
    </row>
    <row r="1561">
      <c r="A1561" s="1">
        <v>3.0</v>
      </c>
      <c r="B1561" s="1" t="s">
        <v>1554</v>
      </c>
      <c r="C1561" t="str">
        <f>IFERROR(__xludf.DUMMYFUNCTION("GOOGLETRANSLATE(B1561, ""fr"", ""en"")"),"Convenient Very convenient! Anyway, after 3 months of use, the hair after not resume their forms ... shame")</f>
        <v>Convenient Very convenient! Anyway, after 3 months of use, the hair after not resume their forms ... shame</v>
      </c>
    </row>
    <row r="1562">
      <c r="A1562" s="1">
        <v>4.0</v>
      </c>
      <c r="B1562" s="1" t="s">
        <v>1555</v>
      </c>
      <c r="C1562" t="str">
        <f>IFERROR(__xludf.DUMMYFUNCTION("GOOGLETRANSLATE(B1562, ""fr"", ""en"")"),"New Balance For day")</f>
        <v>New Balance For day</v>
      </c>
    </row>
    <row r="1563">
      <c r="A1563" s="1">
        <v>4.0</v>
      </c>
      <c r="B1563" s="1" t="s">
        <v>1556</v>
      </c>
      <c r="C1563" t="str">
        <f>IFERROR(__xludf.DUMMYFUNCTION("GOOGLETRANSLATE(B1563, ""fr"", ""en"")"),"Good size 43 Very comfortable")</f>
        <v>Good size 43 Very comfortable</v>
      </c>
    </row>
    <row r="1564">
      <c r="A1564" s="1">
        <v>4.0</v>
      </c>
      <c r="B1564" s="1" t="s">
        <v>1557</v>
      </c>
      <c r="C1564" t="str">
        <f>IFERROR(__xludf.DUMMYFUNCTION("GOOGLETRANSLATE(B1564, ""fr"", ""en"")"),"I find his great microphones microphones of good quality and a nice clear sound")</f>
        <v>I find his great microphones microphones of good quality and a nice clear sound</v>
      </c>
    </row>
    <row r="1565">
      <c r="A1565" s="1">
        <v>4.0</v>
      </c>
      <c r="B1565" s="1" t="s">
        <v>1558</v>
      </c>
      <c r="C1565" t="str">
        <f>IFERROR(__xludf.DUMMYFUNCTION("GOOGLETRANSLATE(B1565, ""fr"", ""en"")"),"Very good and still improvable It's really convenient and spacious. To wash regularly because dirt is deposited in the front trench. No room for plates or the caps used to close the shelf bottles of breast milk")</f>
        <v>Very good and still improvable It's really convenient and spacious. To wash regularly because dirt is deposited in the front trench. No room for plates or the caps used to close the shelf bottles of breast milk</v>
      </c>
    </row>
    <row r="1566">
      <c r="A1566" s="1">
        <v>5.0</v>
      </c>
      <c r="B1566" s="1" t="s">
        <v>1559</v>
      </c>
      <c r="C1566" t="str">
        <f>IFERROR(__xludf.DUMMYFUNCTION("GOOGLETRANSLATE(B1566, ""fr"", ""en"")"),"Good sound. Long Bluetooth Earpiece autonomy of very good quality. Practice with its load box. Pleasing to the ear. Very good sound. Long battery. lamp fontion also torch.")</f>
        <v>Good sound. Long Bluetooth Earpiece autonomy of very good quality. Practice with its load box. Pleasing to the ear. Very good sound. Long battery. lamp fontion also torch.</v>
      </c>
    </row>
    <row r="1567">
      <c r="A1567" s="1">
        <v>5.0</v>
      </c>
      <c r="B1567" s="1" t="s">
        <v>1560</v>
      </c>
      <c r="C1567" t="str">
        <f>IFERROR(__xludf.DUMMYFUNCTION("GOOGLETRANSLATE(B1567, ""fr"", ""en"")"),"Sports Watch I used every day it is light and very stylish I appreciate the ""&amp; nbsp; not &amp; nbsp;"" easy to use it is very playful meter heart rate monitor for its price for me is the asset that made me buy this product more all its functions are far from"&amp;" negligible and essential for any sportsman who respects")</f>
        <v>Sports Watch I used every day it is light and very stylish I appreciate the "&amp; nbsp; not &amp; nbsp;" easy to use it is very playful meter heart rate monitor for its price for me is the asset that made me buy this product more all its functions are far from negligible and essential for any sportsman who respects</v>
      </c>
    </row>
    <row r="1568">
      <c r="A1568" s="1">
        <v>5.0</v>
      </c>
      <c r="B1568" s="1" t="s">
        <v>1561</v>
      </c>
      <c r="C1568" t="str">
        <f>IFERROR(__xludf.DUMMYFUNCTION("GOOGLETRANSLATE(B1568, ""fr"", ""en"")"),"RAS may expensive than in supermarkets for the same amount of anchor. Good value. I recommend.")</f>
        <v>RAS may expensive than in supermarkets for the same amount of anchor. Good value. I recommend.</v>
      </c>
    </row>
    <row r="1569">
      <c r="A1569" s="1">
        <v>5.0</v>
      </c>
      <c r="B1569" s="1" t="s">
        <v>1562</v>
      </c>
      <c r="C1569" t="str">
        <f>IFERROR(__xludf.DUMMYFUNCTION("GOOGLETRANSLATE(B1569, ""fr"", ""en"")"),"Good shows wa, what about this show that I always have on moi.je bought it at least 2 years. and no problems with. to buy the closed eyes.")</f>
        <v>Good shows wa, what about this show that I always have on moi.je bought it at least 2 years. and no problems with. to buy the closed eyes.</v>
      </c>
    </row>
    <row r="1570">
      <c r="A1570" s="1">
        <v>5.0</v>
      </c>
      <c r="B1570" s="1" t="s">
        <v>1563</v>
      </c>
      <c r="C1570" t="str">
        <f>IFERROR(__xludf.DUMMYFUNCTION("GOOGLETRANSLATE(B1570, ""fr"", ""en"")"),"comfort Works")</f>
        <v>comfort Works</v>
      </c>
    </row>
    <row r="1571">
      <c r="A1571" s="1">
        <v>5.0</v>
      </c>
      <c r="B1571" s="1" t="s">
        <v>1564</v>
      </c>
      <c r="C1571" t="str">
        <f>IFERROR(__xludf.DUMMYFUNCTION("GOOGLETRANSLATE(B1571, ""fr"", ""en"")"),"Super Super shoe shoe, as seen with tommy take one size smaller. Received quickly. I recommend these shoes, it is as good as in slippers!")</f>
        <v>Super Super shoe shoe, as seen with tommy take one size smaller. Received quickly. I recommend these shoes, it is as good as in slippers!</v>
      </c>
    </row>
    <row r="1572">
      <c r="A1572" s="1">
        <v>5.0</v>
      </c>
      <c r="B1572" s="1" t="s">
        <v>1565</v>
      </c>
      <c r="C1572" t="str">
        <f>IFERROR(__xludf.DUMMYFUNCTION("GOOGLETRANSLATE(B1572, ""fr"", ""en"")"),"Very good sound very good product, very easy to connected and the sound is very good what more. I will recommend for the family because they found this very interesting product.")</f>
        <v>Very good sound very good product, very easy to connected and the sound is very good what more. I will recommend for the family because they found this very interesting product.</v>
      </c>
    </row>
    <row r="1573">
      <c r="A1573" s="1">
        <v>5.0</v>
      </c>
      <c r="B1573" s="1" t="s">
        <v>1566</v>
      </c>
      <c r="C1573" t="str">
        <f>IFERROR(__xludf.DUMMYFUNCTION("GOOGLETRANSLATE(B1573, ""fr"", ""en"")"),"Better than the pictures Purchased black shoes made for ambulance They are beautiful, colleagues are jealous and do not believe the price I highly recommend")</f>
        <v>Better than the pictures Purchased black shoes made for ambulance They are beautiful, colleagues are jealous and do not believe the price I highly recommend</v>
      </c>
    </row>
    <row r="1574">
      <c r="A1574" s="1">
        <v>5.0</v>
      </c>
      <c r="B1574" s="1" t="s">
        <v>1567</v>
      </c>
      <c r="C1574" t="str">
        <f>IFERROR(__xludf.DUMMYFUNCTION("GOOGLETRANSLATE(B1574, ""fr"", ""en"")"),"Agathe Bracelet Black Fast delivery and compliance with the website's photo. There still seems to be a little less bright than the picture but that's exactly what I wanted ... even a bit darker would be even better!")</f>
        <v>Agathe Bracelet Black Fast delivery and compliance with the website's photo. There still seems to be a little less bright than the picture but that's exactly what I wanted ... even a bit darker would be even better!</v>
      </c>
    </row>
    <row r="1575">
      <c r="A1575" s="1">
        <v>5.0</v>
      </c>
      <c r="B1575" s="1" t="s">
        <v>1568</v>
      </c>
      <c r="C1575" t="str">
        <f>IFERROR(__xludf.DUMMYFUNCTION("GOOGLETRANSLATE(B1575, ""fr"", ""en"")"),"Top Great product Good size")</f>
        <v>Top Great product Good size</v>
      </c>
    </row>
    <row r="1576">
      <c r="A1576" s="1">
        <v>5.0</v>
      </c>
      <c r="B1576" s="1" t="s">
        <v>1569</v>
      </c>
      <c r="C1576" t="str">
        <f>IFERROR(__xludf.DUMMYFUNCTION("GOOGLETRANSLATE(B1576, ""fr"", ""en"")"),"Super what aesthetical toaster A first but not that !! but then it is super nice. The practical side, the bread after netting are ejected at the proper height, it does not seek to the caught and you do not burn your fingers the taking. The temperature set"&amp;"ting is ultra precise. The function of increasing réchaffachage is great too. I have not tried the defrost function. but if it's like other function there should not be any problem. What happiness")</f>
        <v>Super what aesthetical toaster A first but not that !! but then it is super nice. The practical side, the bread after netting are ejected at the proper height, it does not seek to the caught and you do not burn your fingers the taking. The temperature setting is ultra precise. The function of increasing réchaffachage is great too. I have not tried the defrost function. but if it's like other function there should not be any problem. What happiness</v>
      </c>
    </row>
    <row r="1577">
      <c r="A1577" s="1">
        <v>5.0</v>
      </c>
      <c r="B1577" s="1" t="s">
        <v>1570</v>
      </c>
      <c r="C1577" t="str">
        <f>IFERROR(__xludf.DUMMYFUNCTION("GOOGLETRANSLATE(B1577, ""fr"", ""en"")"),"Nice size. Nice surprise that the size of this jewel. Completed with the earrings that as the collar are a good size. The whole gives an elegant effect without being too flashy.")</f>
        <v>Nice size. Nice surprise that the size of this jewel. Completed with the earrings that as the collar are a good size. The whole gives an elegant effect without being too flashy.</v>
      </c>
    </row>
    <row r="1578">
      <c r="A1578" s="1">
        <v>5.0</v>
      </c>
      <c r="B1578" s="1" t="s">
        <v>1571</v>
      </c>
      <c r="C1578" t="str">
        <f>IFERROR(__xludf.DUMMYFUNCTION("GOOGLETRANSLATE(B1578, ""fr"", ""en"")"),"Ras Super nothing to say quality comfort classic casio must I do not see why blame him ... I highly recommend you buy")</f>
        <v>Ras Super nothing to say quality comfort classic casio must I do not see why blame him ... I highly recommend you buy</v>
      </c>
    </row>
    <row r="1579">
      <c r="A1579" s="1">
        <v>5.0</v>
      </c>
      <c r="B1579" s="1" t="s">
        <v>1572</v>
      </c>
      <c r="C1579" t="str">
        <f>IFERROR(__xludf.DUMMYFUNCTION("GOOGLETRANSLATE(B1579, ""fr"", ""en"")"),"Watch the shows I love the style is class, pretty and elegant. Frankly it is with class and it goes with everything you wear! It's simple, styler and that's what made are charming and are right price is really perfect! I am a fan of Quartz watch and frank"&amp;"ly I love great!")</f>
        <v>Watch the shows I love the style is class, pretty and elegant. Frankly it is with class and it goes with everything you wear! It's simple, styler and that's what made are charming and are right price is really perfect! I am a fan of Quartz watch and frankly I love great!</v>
      </c>
    </row>
    <row r="1580">
      <c r="A1580" s="1">
        <v>5.0</v>
      </c>
      <c r="B1580" s="1" t="s">
        <v>1573</v>
      </c>
      <c r="C1580" t="str">
        <f>IFERROR(__xludf.DUMMYFUNCTION("GOOGLETRANSLATE(B1580, ""fr"", ""en"")"),"Impec Nothing to say .. corresponds very well to demand")</f>
        <v>Impec Nothing to say .. corresponds very well to demand</v>
      </c>
    </row>
    <row r="1581">
      <c r="A1581" s="1">
        <v>2.0</v>
      </c>
      <c r="B1581" s="1" t="s">
        <v>1574</v>
      </c>
      <c r="C1581" t="str">
        <f>IFERROR(__xludf.DUMMYFUNCTION("GOOGLETRANSLATE(B1581, ""fr"", ""en"")"),"Rather disappointed attractive price at the time of purchase but that seems cartridge s be emptied quickly .. so I do not recommend")</f>
        <v>Rather disappointed attractive price at the time of purchase but that seems cartridge s be emptied quickly .. so I do not recommend</v>
      </c>
    </row>
    <row r="1582">
      <c r="A1582" s="1">
        <v>1.0</v>
      </c>
      <c r="B1582" s="1" t="s">
        <v>1575</v>
      </c>
      <c r="C1582" t="str">
        <f>IFERROR(__xludf.DUMMYFUNCTION("GOOGLETRANSLATE(B1582, ""fr"", ""en"")"),"very disappointed I received this watch very quickly. Level design, beautiful as the pictures. By cons can not set the time and the button under the ""pin"" fell. So I returned and Amazon reimbursed me.")</f>
        <v>very disappointed I received this watch very quickly. Level design, beautiful as the pictures. By cons can not set the time and the button under the "pin" fell. So I returned and Amazon reimbursed me.</v>
      </c>
    </row>
    <row r="1583">
      <c r="A1583" s="1">
        <v>3.0</v>
      </c>
      <c r="B1583" s="1" t="s">
        <v>1576</v>
      </c>
      <c r="C1583" t="str">
        <f>IFERROR(__xludf.DUMMYFUNCTION("GOOGLETRANSLATE(B1583, ""fr"", ""en"")"),"Little better Do not be like me ticklish but super convenient ... but definitely not hot")</f>
        <v>Little better Do not be like me ticklish but super convenient ... but definitely not hot</v>
      </c>
    </row>
    <row r="1584">
      <c r="A1584" s="1">
        <v>3.0</v>
      </c>
      <c r="B1584" s="1" t="s">
        <v>1577</v>
      </c>
      <c r="C1584" t="str">
        <f>IFERROR(__xludf.DUMMYFUNCTION("GOOGLETRANSLATE(B1584, ""fr"", ""en"")"),"MAM Anti-Colic Bottle - 260ml - 0 to 6 months It is as wrong, it is dismantled completely, which is not bad at all for cleaning. Are readily available nipples that go with it. The only downside for me is that it lacked the little thing that the bottle mou"&amp;"th, when making preparations flour.")</f>
        <v>MAM Anti-Colic Bottle - 260ml - 0 to 6 months It is as wrong, it is dismantled completely, which is not bad at all for cleaning. Are readily available nipples that go with it. The only downside for me is that it lacked the little thing that the bottle mouth, when making preparations flour.</v>
      </c>
    </row>
    <row r="1585">
      <c r="A1585" s="1">
        <v>4.0</v>
      </c>
      <c r="B1585" s="1" t="s">
        <v>1578</v>
      </c>
      <c r="C1585" t="str">
        <f>IFERROR(__xludf.DUMMYFUNCTION("GOOGLETRANSLATE(B1585, ""fr"", ""en"")"),"Genial very good watch only negative light is useless casio could pass on their g Led schock")</f>
        <v>Genial very good watch only negative light is useless casio could pass on their g Led schock</v>
      </c>
    </row>
    <row r="1586">
      <c r="A1586" s="1">
        <v>4.0</v>
      </c>
      <c r="B1586" s="1" t="s">
        <v>1579</v>
      </c>
      <c r="C1586" t="str">
        <f>IFERROR(__xludf.DUMMYFUNCTION("GOOGLETRANSLATE(B1586, ""fr"", ""en"")"),"Soother with tip wide Convenient larger tip than other important rate what I wanted I recommend it without worry")</f>
        <v>Soother with tip wide Convenient larger tip than other important rate what I wanted I recommend it without worry</v>
      </c>
    </row>
    <row r="1587">
      <c r="A1587" s="1">
        <v>4.0</v>
      </c>
      <c r="B1587" s="1" t="s">
        <v>1580</v>
      </c>
      <c r="C1587" t="str">
        <f>IFERROR(__xludf.DUMMYFUNCTION("GOOGLETRANSLATE(B1587, ""fr"", ""en"")"),"Great shows Beautiful still wonderful but the syncs quickly but it is a pleasure to return ra is the time")</f>
        <v>Great shows Beautiful still wonderful but the syncs quickly but it is a pleasure to return ra is the time</v>
      </c>
    </row>
    <row r="1588">
      <c r="A1588" s="1">
        <v>4.0</v>
      </c>
      <c r="B1588" s="1" t="s">
        <v>1581</v>
      </c>
      <c r="C1588" t="str">
        <f>IFERROR(__xludf.DUMMYFUNCTION("GOOGLETRANSLATE(B1588, ""fr"", ""en"")"),"The Other than to closing the closure nice product")</f>
        <v>The Other than to closing the closure nice product</v>
      </c>
    </row>
    <row r="1589">
      <c r="A1589" s="1">
        <v>5.0</v>
      </c>
      <c r="B1589" s="1" t="s">
        <v>1582</v>
      </c>
      <c r="C1589" t="str">
        <f>IFERROR(__xludf.DUMMYFUNCTION("GOOGLETRANSLATE(B1589, ""fr"", ""en"")"),"received praise. compliant products / Thanks")</f>
        <v>received praise. compliant products / Thanks</v>
      </c>
    </row>
    <row r="1590">
      <c r="A1590" s="1">
        <v>5.0</v>
      </c>
      <c r="B1590" s="1" t="s">
        <v>1583</v>
      </c>
      <c r="C1590" t="str">
        <f>IFERROR(__xludf.DUMMYFUNCTION("GOOGLETRANSLATE(B1590, ""fr"", ""en"")"),"Perfect I'm very comfortable in this jogging, perfect for my morphology and cool colors.")</f>
        <v>Perfect I'm very comfortable in this jogging, perfect for my morphology and cool colors.</v>
      </c>
    </row>
    <row r="1591">
      <c r="A1591" s="1">
        <v>5.0</v>
      </c>
      <c r="B1591" s="1" t="s">
        <v>1584</v>
      </c>
      <c r="C1591" t="str">
        <f>IFERROR(__xludf.DUMMYFUNCTION("GOOGLETRANSLATE(B1591, ""fr"", ""en"")"),"Fragile Very nice but very fragile")</f>
        <v>Fragile Very nice but very fragile</v>
      </c>
    </row>
    <row r="1592">
      <c r="A1592" s="1">
        <v>5.0</v>
      </c>
      <c r="B1592" s="1" t="s">
        <v>1585</v>
      </c>
      <c r="C1592" t="str">
        <f>IFERROR(__xludf.DUMMYFUNCTION("GOOGLETRANSLATE(B1592, ""fr"", ""en"")"),"Very comfortable for the winter! I was looking for slippers to protect me from the cold tiles during the winter, I came across this model estTrès comfortable for the winter, they are very soft so nice feet, it protects very well from the cold. They are be"&amp;"autiful and good quality")</f>
        <v>Very comfortable for the winter! I was looking for slippers to protect me from the cold tiles during the winter, I came across this model estTrès comfortable for the winter, they are very soft so nice feet, it protects very well from the cold. They are beautiful and good quality</v>
      </c>
    </row>
    <row r="1593">
      <c r="A1593" s="1">
        <v>5.0</v>
      </c>
      <c r="B1593" s="1" t="s">
        <v>1586</v>
      </c>
      <c r="C1593" t="str">
        <f>IFERROR(__xludf.DUMMYFUNCTION("GOOGLETRANSLATE(B1593, ""fr"", ""en"")"),"BEAUTIFUL WATCH Good value. I bought this watch for a gift and it was a great success. Quick and neat delivery. Very satisfied.")</f>
        <v>BEAUTIFUL WATCH Good value. I bought this watch for a gift and it was a great success. Quick and neat delivery. Very satisfied.</v>
      </c>
    </row>
    <row r="1594">
      <c r="A1594" s="1">
        <v>5.0</v>
      </c>
      <c r="B1594" s="1" t="s">
        <v>1587</v>
      </c>
      <c r="C1594" t="str">
        <f>IFERROR(__xludf.DUMMYFUNCTION("GOOGLETRANSLATE(B1594, ""fr"", ""en"")"),"Satisfactory Fast delivery for these little Puma pretty as any")</f>
        <v>Satisfactory Fast delivery for these little Puma pretty as any</v>
      </c>
    </row>
    <row r="1595">
      <c r="A1595" s="1">
        <v>5.0</v>
      </c>
      <c r="B1595" s="1" t="s">
        <v>1588</v>
      </c>
      <c r="C1595" t="str">
        <f>IFERROR(__xludf.DUMMYFUNCTION("GOOGLETRANSLATE(B1595, ""fr"", ""en"")"),"Top Excellent RAS coffee after several months of use")</f>
        <v>Top Excellent RAS coffee after several months of use</v>
      </c>
    </row>
    <row r="1596">
      <c r="A1596" s="1">
        <v>5.0</v>
      </c>
      <c r="B1596" s="1" t="s">
        <v>1589</v>
      </c>
      <c r="C1596" t="str">
        <f>IFERROR(__xludf.DUMMYFUNCTION("GOOGLETRANSLATE(B1596, ""fr"", ""en"")"),"very good shoe despite a blister on left foot (operated) the shoes are lightweight with excellent sole, size 44 .... it's a shame not 44 half size, if you want to take thick socks one size larger !")</f>
        <v>very good shoe despite a blister on left foot (operated) the shoes are lightweight with excellent sole, size 44 .... it's a shame not 44 half size, if you want to take thick socks one size larger !</v>
      </c>
    </row>
    <row r="1597">
      <c r="A1597" s="1">
        <v>5.0</v>
      </c>
      <c r="B1597" s="1" t="s">
        <v>1590</v>
      </c>
      <c r="C1597" t="str">
        <f>IFERROR(__xludf.DUMMYFUNCTION("GOOGLETRANSLATE(B1597, ""fr"", ""en"")"),"faithful to the photoTRES VERY APPRECIATE BY MY WIFE AND I even SOON.")</f>
        <v>faithful to the photoTRES VERY APPRECIATE BY MY WIFE AND I even SOON.</v>
      </c>
    </row>
    <row r="1598">
      <c r="A1598" s="1">
        <v>5.0</v>
      </c>
      <c r="B1598" s="1" t="s">
        <v>1591</v>
      </c>
      <c r="C1598" t="str">
        <f>IFERROR(__xludf.DUMMYFUNCTION("GOOGLETRANSLATE(B1598, ""fr"", ""en"")"),"Set of bottles for new born Set of pink bottles for newborns. Contains 2 large bottles' 2 small brush and a pacifier. Bottles of excellent quality 'The Advent brand is the ultimate in childcare. A great gift idea, very useful!")</f>
        <v>Set of bottles for new born Set of pink bottles for newborns. Contains 2 large bottles' 2 small brush and a pacifier. Bottles of excellent quality 'The Advent brand is the ultimate in childcare. A great gift idea, very useful!</v>
      </c>
    </row>
    <row r="1599">
      <c r="A1599" s="1">
        <v>5.0</v>
      </c>
      <c r="B1599" s="1" t="s">
        <v>1592</v>
      </c>
      <c r="C1599" t="str">
        <f>IFERROR(__xludf.DUMMYFUNCTION("GOOGLETRANSLATE(B1599, ""fr"", ""en"")"),"Watch very good quality and finish and even a Casio.")</f>
        <v>Watch very good quality and finish and even a Casio.</v>
      </c>
    </row>
    <row r="1600">
      <c r="A1600" s="1">
        <v>5.0</v>
      </c>
      <c r="B1600" s="1" t="s">
        <v>1593</v>
      </c>
      <c r="C1600" t="str">
        <f>IFERROR(__xludf.DUMMYFUNCTION("GOOGLETRANSLATE(B1600, ""fr"", ""en"")"),"All right shoulder bag handy. There are many pockets and pure enough place that I put there.")</f>
        <v>All right shoulder bag handy. There are many pockets and pure enough place that I put there.</v>
      </c>
    </row>
    <row r="1601">
      <c r="A1601" s="1">
        <v>5.0</v>
      </c>
      <c r="B1601" s="1" t="s">
        <v>1594</v>
      </c>
      <c r="C1601" t="str">
        <f>IFERROR(__xludf.DUMMYFUNCTION("GOOGLETRANSLATE(B1601, ""fr"", ""en"")"),"super j; have Chosi this article because it has three leaves and that; it is ultra soft, the more eighteen packages is economic")</f>
        <v>super j; have Chosi this article because it has three leaves and that; it is ultra soft, the more eighteen packages is economic</v>
      </c>
    </row>
    <row r="1602">
      <c r="A1602" s="1">
        <v>5.0</v>
      </c>
      <c r="B1602" s="1" t="s">
        <v>1595</v>
      </c>
      <c r="C1602" t="str">
        <f>IFERROR(__xludf.DUMMYFUNCTION("GOOGLETRANSLATE(B1602, ""fr"", ""en"")"),"Good product Very good quality box that allows the storage and the load. Pleasing to the ear without pain There are additional ambouts for LIVE different size pillows Works on android and iphone carefree")</f>
        <v>Good product Very good quality box that allows the storage and the load. Pleasing to the ear without pain There are additional ambouts for LIVE different size pillows Works on android and iphone carefree</v>
      </c>
    </row>
    <row r="1603">
      <c r="A1603" s="1">
        <v>5.0</v>
      </c>
      <c r="B1603" s="1" t="s">
        <v>1596</v>
      </c>
      <c r="C1603" t="str">
        <f>IFERROR(__xludf.DUMMYFUNCTION("GOOGLETRANSLATE(B1603, ""fr"", ""en"")"),"Kettle sublime color to my kitchen, perfect look and functionality without surprise, I do not regret my purchase, everything is perfect")</f>
        <v>Kettle sublime color to my kitchen, perfect look and functionality without surprise, I do not regret my purchase, everything is perfect</v>
      </c>
    </row>
    <row r="1604">
      <c r="A1604" s="1">
        <v>2.0</v>
      </c>
      <c r="B1604" s="1" t="s">
        <v>1597</v>
      </c>
      <c r="C1604" t="str">
        <f>IFERROR(__xludf.DUMMYFUNCTION("GOOGLETRANSLATE(B1604, ""fr"", ""en"")"),"Medium Quality too thin paper")</f>
        <v>Medium Quality too thin paper</v>
      </c>
    </row>
    <row r="1605">
      <c r="A1605" s="1">
        <v>1.0</v>
      </c>
      <c r="B1605" s="1" t="s">
        <v>1598</v>
      </c>
      <c r="C1605" t="str">
        <f>IFERROR(__xludf.DUMMYFUNCTION("GOOGLETRANSLATE(B1605, ""fr"", ""en"")"),"go your way !!! 3 copies tested and nothing has to the printer does not want it !!! The lesson is that we must still go read reviews, even for a brand product and ""binary"" with over a thousand and appreciations 4 stars out of five. In short?")</f>
        <v>go your way !!! 3 copies tested and nothing has to the printer does not want it !!! The lesson is that we must still go read reviews, even for a brand product and "binary" with over a thousand and appreciations 4 stars out of five. In short?</v>
      </c>
    </row>
    <row r="1606">
      <c r="A1606" s="1">
        <v>1.0</v>
      </c>
      <c r="B1606" s="1" t="s">
        <v>1599</v>
      </c>
      <c r="C1606" t="str">
        <f>IFERROR(__xludf.DUMMYFUNCTION("GOOGLETRANSLATE(B1606, ""fr"", ""en"")"),"Too bad too many. Even for one wrist strong it will not work. No possibility of adjusting and tightening or: pity.")</f>
        <v>Too bad too many. Even for one wrist strong it will not work. No possibility of adjusting and tightening or: pity.</v>
      </c>
    </row>
    <row r="1607">
      <c r="A1607" s="1">
        <v>3.0</v>
      </c>
      <c r="B1607" s="1" t="s">
        <v>1600</v>
      </c>
      <c r="C1607" t="str">
        <f>IFERROR(__xludf.DUMMYFUNCTION("GOOGLETRANSLATE(B1607, ""fr"", ""en"")"),"blah well but a little disappointed, my son likes against by not playing a lot with. We use it together with the computer next to research the named countries. the numbers are too long suddenly it's complicated to understand (distance, area, population, ."&amp;"..)")</f>
        <v>blah well but a little disappointed, my son likes against by not playing a lot with. We use it together with the computer next to research the named countries. the numbers are too long suddenly it's complicated to understand (distance, area, population, ...)</v>
      </c>
    </row>
    <row r="1608">
      <c r="A1608" s="1">
        <v>3.0</v>
      </c>
      <c r="B1608" s="1" t="s">
        <v>1601</v>
      </c>
      <c r="C1608" t="str">
        <f>IFERROR(__xludf.DUMMYFUNCTION("GOOGLETRANSLATE(B1608, ""fr"", ""en"")"),"Mrs. shoes beautiful color fashion model, the shoe goes well with nice feet I wear has recommended others")</f>
        <v>Mrs. shoes beautiful color fashion model, the shoe goes well with nice feet I wear has recommended others</v>
      </c>
    </row>
    <row r="1609">
      <c r="A1609" s="1">
        <v>4.0</v>
      </c>
      <c r="B1609" s="1" t="s">
        <v>1602</v>
      </c>
      <c r="C1609" t="str">
        <f>IFERROR(__xludf.DUMMYFUNCTION("GOOGLETRANSLATE(B1609, ""fr"", ""en"")"),"Fun With Exact Match Description")</f>
        <v>Fun With Exact Match Description</v>
      </c>
    </row>
    <row r="1610">
      <c r="A1610" s="1">
        <v>4.0</v>
      </c>
      <c r="B1610" s="1" t="s">
        <v>1603</v>
      </c>
      <c r="C1610" t="str">
        <f>IFERROR(__xludf.DUMMYFUNCTION("GOOGLETRANSLATE(B1610, ""fr"", ""en"")"),"beautiful ring I love it!")</f>
        <v>beautiful ring I love it!</v>
      </c>
    </row>
    <row r="1611">
      <c r="A1611" s="1">
        <v>4.0</v>
      </c>
      <c r="B1611" s="1" t="s">
        <v>1604</v>
      </c>
      <c r="C1611" t="str">
        <f>IFERROR(__xludf.DUMMYFUNCTION("GOOGLETRANSLATE(B1611, ""fr"", ""en"")"),"Nickel Nothing to say the quality is good, just a little flat on the smell when the fate of the package, it should from time.")</f>
        <v>Nickel Nothing to say the quality is good, just a little flat on the smell when the fate of the package, it should from time.</v>
      </c>
    </row>
    <row r="1612">
      <c r="A1612" s="1">
        <v>4.0</v>
      </c>
      <c r="B1612" s="1" t="s">
        <v>1605</v>
      </c>
      <c r="C1612" t="str">
        <f>IFERROR(__xludf.DUMMYFUNCTION("GOOGLETRANSLATE(B1612, ""fr"", ""en"")"),"Very good assist lamp It is a quality of extra light. The intensity adjustment is easily done by touch, it fits the bill perfectly. It is not very high, about the height of a 24-inch PC screen. I recommend this lamp has a good value for money.")</f>
        <v>Very good assist lamp It is a quality of extra light. The intensity adjustment is easily done by touch, it fits the bill perfectly. It is not very high, about the height of a 24-inch PC screen. I recommend this lamp has a good value for money.</v>
      </c>
    </row>
    <row r="1613">
      <c r="A1613" s="1">
        <v>5.0</v>
      </c>
      <c r="B1613" s="1" t="s">
        <v>1606</v>
      </c>
      <c r="C1613" t="str">
        <f>IFERROR(__xludf.DUMMYFUNCTION("GOOGLETRANSLATE(B1613, ""fr"", ""en"")"),"The price fast shipping shoes suitable for its nickel walk")</f>
        <v>The price fast shipping shoes suitable for its nickel walk</v>
      </c>
    </row>
    <row r="1614">
      <c r="A1614" s="1">
        <v>5.0</v>
      </c>
      <c r="B1614" s="1" t="s">
        <v>1607</v>
      </c>
      <c r="C1614" t="str">
        <f>IFERROR(__xludf.DUMMYFUNCTION("GOOGLETRANSLATE(B1614, ""fr"", ""en"")"),"Perfect They work very well and above all they are non-toxic to children. They consists of liquid chalk which fades on the table glass with all wipers (sopalin) dry or wet. they have become indispensable in our kitchen!")</f>
        <v>Perfect They work very well and above all they are non-toxic to children. They consists of liquid chalk which fades on the table glass with all wipers (sopalin) dry or wet. they have become indispensable in our kitchen!</v>
      </c>
    </row>
    <row r="1615">
      <c r="A1615" s="1">
        <v>5.0</v>
      </c>
      <c r="B1615" s="1" t="s">
        <v>1608</v>
      </c>
      <c r="C1615" t="str">
        <f>IFERROR(__xludf.DUMMYFUNCTION("GOOGLETRANSLATE(B1615, ""fr"", ""en"")"),"Without hesitation ! Very good model, which is also suitable for the feet! comfortable and sturdy shoe, made of quality leather. Very pretty and more.")</f>
        <v>Without hesitation ! Very good model, which is also suitable for the feet! comfortable and sturdy shoe, made of quality leather. Very pretty and more.</v>
      </c>
    </row>
    <row r="1616">
      <c r="A1616" s="1">
        <v>5.0</v>
      </c>
      <c r="B1616" s="1" t="s">
        <v>1609</v>
      </c>
      <c r="C1616" t="str">
        <f>IFERROR(__xludf.DUMMYFUNCTION("GOOGLETRANSLATE(B1616, ""fr"", ""en"")"),"Aukey IS ok Great sound, perfect comfort, great autonomy, more allied to the small cargo box allows an even longer use.")</f>
        <v>Aukey IS ok Great sound, perfect comfort, great autonomy, more allied to the small cargo box allows an even longer use.</v>
      </c>
    </row>
    <row r="1617">
      <c r="A1617" s="1">
        <v>5.0</v>
      </c>
      <c r="B1617" s="1" t="s">
        <v>1610</v>
      </c>
      <c r="C1617" t="str">
        <f>IFERROR(__xludf.DUMMYFUNCTION("GOOGLETRANSLATE(B1617, ""fr"", ""en"")"),"very good vacuum cleaner I chose this cordless vacuum to small size but with very good performance in exchange for my traditional corded vacuum cleaner. I am a very satisfied customer because in addition to having a beautiful design and a beautiful color,"&amp;" it is easy to use, vacuums as well as my old vacuum cleaner known brand, it is compact with its charging base, autonomy is correct (being manic I spend every day vacuuming!). Delivered quickly again with premium amazon. I can not recommend this vacuum.")</f>
        <v>very good vacuum cleaner I chose this cordless vacuum to small size but with very good performance in exchange for my traditional corded vacuum cleaner. I am a very satisfied customer because in addition to having a beautiful design and a beautiful color, it is easy to use, vacuums as well as my old vacuum cleaner known brand, it is compact with its charging base, autonomy is correct (being manic I spend every day vacuuming!). Delivered quickly again with premium amazon. I can not recommend this vacuum.</v>
      </c>
    </row>
    <row r="1618">
      <c r="A1618" s="1">
        <v>5.0</v>
      </c>
      <c r="B1618" s="1" t="s">
        <v>1611</v>
      </c>
      <c r="C1618" t="str">
        <f>IFERROR(__xludf.DUMMYFUNCTION("GOOGLETRANSLATE(B1618, ""fr"", ""en"")"),"PRODUCT MIRACLE 'with a little elbow grease still great job with this product. Our chair was a mess 11 years without cleaning or product (Recycling) but now it is like new; No more cushion to hide the misery NICKEL")</f>
        <v>PRODUCT MIRACLE 'with a little elbow grease still great job with this product. Our chair was a mess 11 years without cleaning or product (Recycling) but now it is like new; No more cushion to hide the misery NICKEL</v>
      </c>
    </row>
    <row r="1619">
      <c r="A1619" s="1">
        <v>5.0</v>
      </c>
      <c r="B1619" s="1" t="s">
        <v>1612</v>
      </c>
      <c r="C1619" t="str">
        <f>IFERROR(__xludf.DUMMYFUNCTION("GOOGLETRANSLATE(B1619, ""fr"", ""en"")"),"Very good buy My first earpieces BLUET, and I do not regret ..! Very good packaging, with a small storage bag for lugging quiet, easy to implement despite the absence of French instruction, good battery life, and above all a very good support thanks to ea"&amp;"r frames, the sound is okay, j 'I holed a bit limited in the treble, but the bass is excellent, self-correct, .. short, I advise buying ..")</f>
        <v>Very good buy My first earpieces BLUET, and I do not regret ..! Very good packaging, with a small storage bag for lugging quiet, easy to implement despite the absence of French instruction, good battery life, and above all a very good support thanks to ear frames, the sound is okay, j 'I holed a bit limited in the treble, but the bass is excellent, self-correct, .. short, I advise buying ..</v>
      </c>
    </row>
    <row r="1620">
      <c r="A1620" s="1">
        <v>5.0</v>
      </c>
      <c r="B1620" s="1" t="s">
        <v>1613</v>
      </c>
      <c r="C1620" t="str">
        <f>IFERROR(__xludf.DUMMYFUNCTION("GOOGLETRANSLATE(B1620, ""fr"", ""en"")"),"quo vadis? still functional, efficient, clear wide enough to slide .... documents without them beyond .... My benchmark for civil calendar.")</f>
        <v>quo vadis? still functional, efficient, clear wide enough to slide .... documents without them beyond .... My benchmark for civil calendar.</v>
      </c>
    </row>
    <row r="1621">
      <c r="A1621" s="1">
        <v>5.0</v>
      </c>
      <c r="B1621" s="1" t="s">
        <v>1614</v>
      </c>
      <c r="C1621" t="str">
        <f>IFERROR(__xludf.DUMMYFUNCTION("GOOGLETRANSLATE(B1621, ""fr"", ""en"")"),"Okay Bought to replace the ones I had. Excellent in every way.")</f>
        <v>Okay Bought to replace the ones I had. Excellent in every way.</v>
      </c>
    </row>
    <row r="1622">
      <c r="A1622" s="1">
        <v>5.0</v>
      </c>
      <c r="B1622" s="1" t="s">
        <v>1615</v>
      </c>
      <c r="C1622" t="str">
        <f>IFERROR(__xludf.DUMMYFUNCTION("GOOGLETRANSLATE(B1622, ""fr"", ""en"")"),"A little expensive Received in a timely manner, as planned. Items comply with the order. A little expensive!")</f>
        <v>A little expensive Received in a timely manner, as planned. Items comply with the order. A little expensive!</v>
      </c>
    </row>
    <row r="1623">
      <c r="A1623" s="1">
        <v>5.0</v>
      </c>
      <c r="B1623" s="1" t="s">
        <v>1616</v>
      </c>
      <c r="C1623" t="str">
        <f>IFERROR(__xludf.DUMMYFUNCTION("GOOGLETRANSLATE(B1623, ""fr"", ""en"")"),"Beautiful ! Perfect")</f>
        <v>Beautiful ! Perfect</v>
      </c>
    </row>
    <row r="1624">
      <c r="A1624" s="1">
        <v>5.0</v>
      </c>
      <c r="B1624" s="1" t="s">
        <v>1617</v>
      </c>
      <c r="C1624" t="str">
        <f>IFERROR(__xludf.DUMMYFUNCTION("GOOGLETRANSLATE(B1624, ""fr"", ""en"")"),"Very beautiful necklace is always on my neck I keep preciously beautiful it is robust to the wire time is not seen I recommend it is really beautiful and sparkly")</f>
        <v>Very beautiful necklace is always on my neck I keep preciously beautiful it is robust to the wire time is not seen I recommend it is really beautiful and sparkly</v>
      </c>
    </row>
    <row r="1625">
      <c r="A1625" s="1">
        <v>5.0</v>
      </c>
      <c r="B1625" s="1" t="s">
        <v>1618</v>
      </c>
      <c r="C1625" t="str">
        <f>IFERROR(__xludf.DUMMYFUNCTION("GOOGLETRANSLATE(B1625, ""fr"", ""en"")"),"Good quality clothing I'm a 40 but I also quite strong calves. If waist and buttocks, this sport leggings size M fits me perfectly, in the legs is a tad too tight so that it brings down the fabric as and movements. For a good 40, I recommend taking the L "&amp;"in this model .. After testing different models of this brand, sizes slightly different each time. I recommend you trust the comments left by buyers. Apart from about size, I find this very nice leggings in purple graphic. It is not used to the size, and "&amp;"is particularly comfortable (provided one is chosen the right size from the start). Do not move to washing and dry very quickly. There is a good quality garment on the garment. This is the case of all Auric products I've tried so far.")</f>
        <v>Good quality clothing I'm a 40 but I also quite strong calves. If waist and buttocks, this sport leggings size M fits me perfectly, in the legs is a tad too tight so that it brings down the fabric as and movements. For a good 40, I recommend taking the L in this model .. After testing different models of this brand, sizes slightly different each time. I recommend you trust the comments left by buyers. Apart from about size, I find this very nice leggings in purple graphic. It is not used to the size, and is particularly comfortable (provided one is chosen the right size from the start). Do not move to washing and dry very quickly. There is a good quality garment on the garment. This is the case of all Auric products I've tried so far.</v>
      </c>
    </row>
    <row r="1626">
      <c r="A1626" s="1">
        <v>5.0</v>
      </c>
      <c r="B1626" s="1" t="s">
        <v>1619</v>
      </c>
      <c r="C1626" t="str">
        <f>IFERROR(__xludf.DUMMYFUNCTION("GOOGLETRANSLATE(B1626, ""fr"", ""en"")"),"Hyper Hyper practice practice, if suction well")</f>
        <v>Hyper Hyper practice practice, if suction well</v>
      </c>
    </row>
    <row r="1627">
      <c r="A1627" s="1">
        <v>5.0</v>
      </c>
      <c r="B1627" s="1" t="s">
        <v>1620</v>
      </c>
      <c r="C1627" t="str">
        <f>IFERROR(__xludf.DUMMYFUNCTION("GOOGLETRANSLATE(B1627, ""fr"", ""en"")"),"Converse runs every Timeless eras, nothing to say I buy for years, never disappointed!")</f>
        <v>Converse runs every Timeless eras, nothing to say I buy for years, never disappointed!</v>
      </c>
    </row>
    <row r="1628">
      <c r="A1628" s="1">
        <v>2.0</v>
      </c>
      <c r="B1628" s="1" t="s">
        <v>1621</v>
      </c>
      <c r="C1628" t="str">
        <f>IFERROR(__xludf.DUMMYFUNCTION("GOOGLETRANSLATE(B1628, ""fr"", ""en"")"),"Too bad little disappointed too small size would otherwise have good support")</f>
        <v>Too bad little disappointed too small size would otherwise have good support</v>
      </c>
    </row>
    <row r="1629">
      <c r="A1629" s="1">
        <v>1.0</v>
      </c>
      <c r="B1629" s="1" t="s">
        <v>1622</v>
      </c>
      <c r="C1629" t="str">
        <f>IFERROR(__xludf.DUMMYFUNCTION("GOOGLETRANSLATE(B1629, ""fr"", ""en"")"),"Way. Take another paper for better rendering quality ratio / price top as cheap but not terrible either in quality. The impression it is not great. Regardless of the printer settings. The paper pump too much ink, suddenly becomes dark brown limit, he fina"&amp;"lly tarnished too.")</f>
        <v>Way. Take another paper for better rendering quality ratio / price top as cheap but not terrible either in quality. The impression it is not great. Regardless of the printer settings. The paper pump too much ink, suddenly becomes dark brown limit, he finally tarnished too.</v>
      </c>
    </row>
    <row r="1630">
      <c r="A1630" s="1">
        <v>1.0</v>
      </c>
      <c r="B1630" s="1" t="s">
        <v>1623</v>
      </c>
      <c r="C1630" t="str">
        <f>IFERROR(__xludf.DUMMYFUNCTION("GOOGLETRANSLATE(B1630, ""fr"", ""en"")"),"please do not buy this product very fragile boots degrades at all levels of the sole of the cook and the junction between the two do not especially take this model")</f>
        <v>please do not buy this product very fragile boots degrades at all levels of the sole of the cook and the junction between the two do not especially take this model</v>
      </c>
    </row>
    <row r="1631">
      <c r="A1631" s="1">
        <v>3.0</v>
      </c>
      <c r="B1631" s="1" t="s">
        <v>1624</v>
      </c>
      <c r="C1631" t="str">
        <f>IFERROR(__xludf.DUMMYFUNCTION("GOOGLETRANSLATE(B1631, ""fr"", ""en"")"),"Mixed Very good product but on the 2 ordered an XL two tshirts comes in size M, so I remain disappointed")</f>
        <v>Mixed Very good product but on the 2 ordered an XL two tshirts comes in size M, so I remain disappointed</v>
      </c>
    </row>
    <row r="1632">
      <c r="A1632" s="1">
        <v>4.0</v>
      </c>
      <c r="B1632" s="1" t="s">
        <v>1625</v>
      </c>
      <c r="C1632" t="str">
        <f>IFERROR(__xludf.DUMMYFUNCTION("GOOGLETRANSLATE(B1632, ""fr"", ""en"")"),"What happiness After a hard day what better to lie on this mat to de-stress and relax")</f>
        <v>What happiness After a hard day what better to lie on this mat to de-stress and relax</v>
      </c>
    </row>
    <row r="1633">
      <c r="A1633" s="1">
        <v>4.0</v>
      </c>
      <c r="B1633" s="1" t="s">
        <v>1626</v>
      </c>
      <c r="C1633" t="str">
        <f>IFERROR(__xludf.DUMMYFUNCTION("GOOGLETRANSLATE(B1633, ""fr"", ""en"")"),"Grading dde headphones Listen music on youtub Good performance, comfort on the ears, lightness of the helmet on the head Satisfied good value for money product")</f>
        <v>Grading dde headphones Listen music on youtub Good performance, comfort on the ears, lightness of the helmet on the head Satisfied good value for money product</v>
      </c>
    </row>
    <row r="1634">
      <c r="A1634" s="1">
        <v>4.0</v>
      </c>
      <c r="B1634" s="1" t="s">
        <v>1627</v>
      </c>
      <c r="C1634" t="str">
        <f>IFERROR(__xludf.DUMMYFUNCTION("GOOGLETRANSLATE(B1634, ""fr"", ""en"")"),"Beautiful design, shame about the coffee maker elegant beep beep, which heats quickly and well. But why inflict (and neighbors also probably) mandatory as shrill beeping? The ring should be optional and sweet to the ear.")</f>
        <v>Beautiful design, shame about the coffee maker elegant beep beep, which heats quickly and well. But why inflict (and neighbors also probably) mandatory as shrill beeping? The ring should be optional and sweet to the ear.</v>
      </c>
    </row>
    <row r="1635">
      <c r="A1635" s="1">
        <v>4.0</v>
      </c>
      <c r="B1635" s="1" t="s">
        <v>1628</v>
      </c>
      <c r="C1635" t="str">
        <f>IFERROR(__xludf.DUMMYFUNCTION("GOOGLETRANSLATE(B1635, ""fr"", ""en"")"),"Very good investment Leather is a very good quality, delivery very ponctuel.Légèrement disappointed because the inner sole is slightly peeling at the opening of the package. After only a few days the shoe is made to my pied.Je'm still very happy with my p"&amp;"urchase.")</f>
        <v>Very good investment Leather is a very good quality, delivery very ponctuel.Légèrement disappointed because the inner sole is slightly peeling at the opening of the package. After only a few days the shoe is made to my pied.Je'm still very happy with my purchase.</v>
      </c>
    </row>
    <row r="1636">
      <c r="A1636" s="1">
        <v>5.0</v>
      </c>
      <c r="B1636" s="1" t="s">
        <v>1629</v>
      </c>
      <c r="C1636" t="str">
        <f>IFERROR(__xludf.DUMMYFUNCTION("GOOGLETRANSLATE(B1636, ""fr"", ""en"")"),"Perfect for winter cute and comfortable shoes. The exterior is consistent with the picture. And the inside is soft, thick and warm. My little 9 year old leaves do more at home. I recommend !! Check ""&amp; nbsp; yes &amp; nbsp;"" if my review was helpful. Thank y"&amp;"ou !")</f>
        <v>Perfect for winter cute and comfortable shoes. The exterior is consistent with the picture. And the inside is soft, thick and warm. My little 9 year old leaves do more at home. I recommend !! Check "&amp; nbsp; yes &amp; nbsp;" if my review was helpful. Thank you !</v>
      </c>
    </row>
    <row r="1637">
      <c r="A1637" s="1">
        <v>5.0</v>
      </c>
      <c r="B1637" s="1" t="s">
        <v>1630</v>
      </c>
      <c r="C1637" t="str">
        <f>IFERROR(__xludf.DUMMYFUNCTION("GOOGLETRANSLATE(B1637, ""fr"", ""en"")"),"Comfortable, ideal for summer ...")</f>
        <v>Comfortable, ideal for summer ...</v>
      </c>
    </row>
    <row r="1638">
      <c r="A1638" s="1">
        <v>5.0</v>
      </c>
      <c r="B1638" s="1" t="s">
        <v>1631</v>
      </c>
      <c r="C1638" t="str">
        <f>IFERROR(__xludf.DUMMYFUNCTION("GOOGLETRANSLATE(B1638, ""fr"", ""en"")"),"VERY AFFORDABLE GIVES AN HOUR JUST")</f>
        <v>VERY AFFORDABLE GIVES AN HOUR JUST</v>
      </c>
    </row>
    <row r="1639">
      <c r="A1639" s="1">
        <v>5.0</v>
      </c>
      <c r="B1639" s="1" t="s">
        <v>1632</v>
      </c>
      <c r="C1639" t="str">
        <f>IFERROR(__xludf.DUMMYFUNCTION("GOOGLETRANSLATE(B1639, ""fr"", ""en"")"),"Product according Jacketing pleasant sole. comfortable cushioning. In short, they do the work")</f>
        <v>Product according Jacketing pleasant sole. comfortable cushioning. In short, they do the work</v>
      </c>
    </row>
    <row r="1640">
      <c r="A1640" s="1">
        <v>5.0</v>
      </c>
      <c r="B1640" s="1" t="s">
        <v>1633</v>
      </c>
      <c r="C1640" t="str">
        <f>IFERROR(__xludf.DUMMYFUNCTION("GOOGLETRANSLATE(B1640, ""fr"", ""en"")"),"Convenient, comfortable, stylish not to wear shoes to a child 10 years so far. Except this model. Perfect for winter!")</f>
        <v>Convenient, comfortable, stylish not to wear shoes to a child 10 years so far. Except this model. Perfect for winter!</v>
      </c>
    </row>
    <row r="1641">
      <c r="A1641" s="1">
        <v>5.0</v>
      </c>
      <c r="B1641" s="1" t="s">
        <v>1634</v>
      </c>
      <c r="C1641" t="str">
        <f>IFERROR(__xludf.DUMMYFUNCTION("GOOGLETRANSLATE(B1641, ""fr"", ""en"")"),"Top! Delivery on the scheduled day, basketball ditto in stores, no complaints")</f>
        <v>Top! Delivery on the scheduled day, basketball ditto in stores, no complaints</v>
      </c>
    </row>
    <row r="1642">
      <c r="A1642" s="1">
        <v>5.0</v>
      </c>
      <c r="B1642" s="1" t="s">
        <v>1635</v>
      </c>
      <c r="C1642" t="str">
        <f>IFERROR(__xludf.DUMMYFUNCTION("GOOGLETRANSLATE(B1642, ""fr"", ""en"")"),"Super Model TBS late September received this model, I can conclude that I am delighted, first of all the beautiful blue color and comfort is to go for a walk, or walk into town. only downside for me and I confirm some comment, some small size and thus for"&amp;" maximum comfort take one size bigger. so I took a 39 instead of 38.")</f>
        <v>Super Model TBS late September received this model, I can conclude that I am delighted, first of all the beautiful blue color and comfort is to go for a walk, or walk into town. only downside for me and I confirm some comment, some small size and thus for maximum comfort take one size bigger. so I took a 39 instead of 38.</v>
      </c>
    </row>
    <row r="1643">
      <c r="A1643" s="1">
        <v>5.0</v>
      </c>
      <c r="B1643" s="1" t="s">
        <v>1636</v>
      </c>
      <c r="C1643" t="str">
        <f>IFERROR(__xludf.DUMMYFUNCTION("GOOGLETRANSLATE(B1643, ""fr"", ""en"")"),"Meets Perfect")</f>
        <v>Meets Perfect</v>
      </c>
    </row>
    <row r="1644">
      <c r="A1644" s="1">
        <v>5.0</v>
      </c>
      <c r="B1644" s="1" t="s">
        <v>1637</v>
      </c>
      <c r="C1644" t="str">
        <f>IFERROR(__xludf.DUMMYFUNCTION("GOOGLETRANSLATE(B1644, ""fr"", ""en"")"),"practice shoes Nothing to say, I love it is both convenient and flexible. I do not have any being to take another color soon. Thank you for this beautiful shoe")</f>
        <v>practice shoes Nothing to say, I love it is both convenient and flexible. I do not have any being to take another color soon. Thank you for this beautiful shoe</v>
      </c>
    </row>
    <row r="1645">
      <c r="A1645" s="1">
        <v>5.0</v>
      </c>
      <c r="B1645" s="1" t="s">
        <v>1638</v>
      </c>
      <c r="C1645" t="str">
        <f>IFERROR(__xludf.DUMMYFUNCTION("GOOGLETRANSLATE(B1645, ""fr"", ""en"")"),"Bracelet very good value Very easy to replace. He got that from 6 months, but for now I no problems. It should be noted that I do not put my watch every day")</f>
        <v>Bracelet very good value Very easy to replace. He got that from 6 months, but for now I no problems. It should be noted that I do not put my watch every day</v>
      </c>
    </row>
    <row r="1646">
      <c r="A1646" s="1">
        <v>5.0</v>
      </c>
      <c r="B1646" s="1" t="s">
        <v>1639</v>
      </c>
      <c r="C1646" t="str">
        <f>IFERROR(__xludf.DUMMYFUNCTION("GOOGLETRANSLATE(B1646, ""fr"", ""en"")"),"Original HP cartridge Original HP Product. I use these cartridges for my HP 8600 Pro. While these cartridges are expensive but they have a price page among the cheapest in the market (4.8 cents according to test digital). With my use, it lasts a year and "&amp;"around 2500 pages. Excellent value for money.")</f>
        <v>Original HP cartridge Original HP Product. I use these cartridges for my HP 8600 Pro. While these cartridges are expensive but they have a price page among the cheapest in the market (4.8 cents according to test digital). With my use, it lasts a year and around 2500 pages. Excellent value for money.</v>
      </c>
    </row>
    <row r="1647">
      <c r="A1647" s="1">
        <v>5.0</v>
      </c>
      <c r="B1647" s="1" t="s">
        <v>1640</v>
      </c>
      <c r="C1647" t="str">
        <f>IFERROR(__xludf.DUMMYFUNCTION("GOOGLETRANSLATE(B1647, ""fr"", ""en"")"),"Meets Perfect order")</f>
        <v>Meets Perfect order</v>
      </c>
    </row>
    <row r="1648">
      <c r="A1648" s="1">
        <v>5.0</v>
      </c>
      <c r="B1648" s="1" t="s">
        <v>1641</v>
      </c>
      <c r="C1648" t="str">
        <f>IFERROR(__xludf.DUMMYFUNCTION("GOOGLETRANSLATE(B1648, ""fr"", ""en"")"),"Watch Sublime")</f>
        <v>Watch Sublime</v>
      </c>
    </row>
    <row r="1649">
      <c r="A1649" s="1">
        <v>5.0</v>
      </c>
      <c r="B1649" s="1" t="s">
        <v>1642</v>
      </c>
      <c r="C1649" t="str">
        <f>IFERROR(__xludf.DUMMYFUNCTION("GOOGLETRANSLATE(B1649, ""fr"", ""en"")"),"Very good I am very satisfied with this tracksuit, the quality of fabric is beautiful I wore it twice and I washed it once and it is still intact, the color gentleness ... etc.")</f>
        <v>Very good I am very satisfied with this tracksuit, the quality of fabric is beautiful I wore it twice and I washed it once and it is still intact, the color gentleness ... etc.</v>
      </c>
    </row>
    <row r="1650">
      <c r="A1650" s="1">
        <v>5.0</v>
      </c>
      <c r="B1650" s="1" t="s">
        <v>1643</v>
      </c>
      <c r="C1650" t="str">
        <f>IFERROR(__xludf.DUMMYFUNCTION("GOOGLETRANSLATE(B1650, ""fr"", ""en"")"),"The best of whiteboard marker. Large consumer erase markers work, I look forward to each I come across these Bic Velleda wide tip and translucent reservoir. While most of Bic products are manufactured in France or elsewhere in the European Union, these co"&amp;"pies come from China. Batch 4 felts in 4 different colors is packed in a carton. The broad point is very nice if the surface of the table is good. The colors are bright and quick drying ink. Erasing is easy.")</f>
        <v>The best of whiteboard marker. Large consumer erase markers work, I look forward to each I come across these Bic Velleda wide tip and translucent reservoir. While most of Bic products are manufactured in France or elsewhere in the European Union, these copies come from China. Batch 4 felts in 4 different colors is packed in a carton. The broad point is very nice if the surface of the table is good. The colors are bright and quick drying ink. Erasing is easy.</v>
      </c>
    </row>
    <row r="1651">
      <c r="A1651" s="1">
        <v>5.0</v>
      </c>
      <c r="B1651" s="1" t="s">
        <v>1644</v>
      </c>
      <c r="C1651" t="str">
        <f>IFERROR(__xludf.DUMMYFUNCTION("GOOGLETRANSLATE(B1651, ""fr"", ""en"")"),"P'tit gift Beautiful little necklace that made fun thank you")</f>
        <v>P'tit gift Beautiful little necklace that made fun thank you</v>
      </c>
    </row>
    <row r="1652">
      <c r="A1652" s="1">
        <v>2.0</v>
      </c>
      <c r="B1652" s="1" t="s">
        <v>1645</v>
      </c>
      <c r="C1652" t="str">
        <f>IFERROR(__xludf.DUMMYFUNCTION("GOOGLETRANSLATE(B1652, ""fr"", ""en"")"),"baskettes I sold very sore feet otherwise damage the color and perfect stass not do for me")</f>
        <v>baskettes I sold very sore feet otherwise damage the color and perfect stass not do for me</v>
      </c>
    </row>
    <row r="1653">
      <c r="A1653" s="1">
        <v>1.0</v>
      </c>
      <c r="B1653" s="1" t="s">
        <v>1646</v>
      </c>
      <c r="C1653" t="str">
        <f>IFERROR(__xludf.DUMMYFUNCTION("GOOGLETRANSLATE(B1653, ""fr"", ""en"")"),"Poor advice I not this")</f>
        <v>Poor advice I not this</v>
      </c>
    </row>
    <row r="1654">
      <c r="A1654" s="1">
        <v>3.0</v>
      </c>
      <c r="B1654" s="1" t="s">
        <v>1647</v>
      </c>
      <c r="C1654" t="str">
        <f>IFERROR(__xludf.DUMMYFUNCTION("GOOGLETRANSLATE(B1654, ""fr"", ""en"")"),"Good Very soft and very warm, this jacket has just one flaw: the sleeves are a little long. Do not necessarily take the size below, unless you are slender, otherwise you'll be too tight at the waist.")</f>
        <v>Good Very soft and very warm, this jacket has just one flaw: the sleeves are a little long. Do not necessarily take the size below, unless you are slender, otherwise you'll be too tight at the waist.</v>
      </c>
    </row>
    <row r="1655">
      <c r="A1655" s="1">
        <v>3.0</v>
      </c>
      <c r="B1655" s="1" t="s">
        <v>1648</v>
      </c>
      <c r="C1655" t="str">
        <f>IFERROR(__xludf.DUMMYFUNCTION("GOOGLETRANSLATE(B1655, ""fr"", ""en"")"),"a gtx is different things to normal. hello, on the Amazon site is noted black white shoe gtx sure I got a normal pace gtx I am disabled the gtx is to keep feet dry unfortunately it is not.")</f>
        <v>a gtx is different things to normal. hello, on the Amazon site is noted black white shoe gtx sure I got a normal pace gtx I am disabled the gtx is to keep feet dry unfortunately it is not.</v>
      </c>
    </row>
    <row r="1656">
      <c r="A1656" s="1">
        <v>4.0</v>
      </c>
      <c r="B1656" s="1" t="s">
        <v>1649</v>
      </c>
      <c r="C1656" t="str">
        <f>IFERROR(__xludf.DUMMYFUNCTION("GOOGLETRANSLATE(B1656, ""fr"", ""en"")"),"cool I bought off, for it is not tight and hide my curves, it makes it all! a bit transparent, it gives a sporty and casual look, I removed a star for finishing seams which pull a little, but not serious! Pretty ...")</f>
        <v>cool I bought off, for it is not tight and hide my curves, it makes it all! a bit transparent, it gives a sporty and casual look, I removed a star for finishing seams which pull a little, but not serious! Pretty ...</v>
      </c>
    </row>
    <row r="1657">
      <c r="A1657" s="1">
        <v>4.0</v>
      </c>
      <c r="B1657" s="1" t="s">
        <v>1650</v>
      </c>
      <c r="C1657" t="str">
        <f>IFERROR(__xludf.DUMMYFUNCTION("GOOGLETRANSLATE(B1657, ""fr"", ""en"")"),"FLOWER CARPET FIELD Glad this, pity there is no manual inside, we do not know very well command to use")</f>
        <v>FLOWER CARPET FIELD Glad this, pity there is no manual inside, we do not know very well command to use</v>
      </c>
    </row>
    <row r="1658">
      <c r="A1658" s="1">
        <v>4.0</v>
      </c>
      <c r="B1658" s="1" t="s">
        <v>1651</v>
      </c>
      <c r="C1658" t="str">
        <f>IFERROR(__xludf.DUMMYFUNCTION("GOOGLETRANSLATE(B1658, ""fr"", ""en"")"),"Very nice pendant")</f>
        <v>Very nice pendant</v>
      </c>
    </row>
    <row r="1659">
      <c r="A1659" s="1">
        <v>4.0</v>
      </c>
      <c r="B1659" s="1" t="s">
        <v>1652</v>
      </c>
      <c r="C1659" t="str">
        <f>IFERROR(__xludf.DUMMYFUNCTION("GOOGLETRANSLATE(B1659, ""fr"", ""en"")"),"No problem Nickel")</f>
        <v>No problem Nickel</v>
      </c>
    </row>
    <row r="1660">
      <c r="A1660" s="1">
        <v>4.0</v>
      </c>
      <c r="B1660" s="1" t="s">
        <v>1653</v>
      </c>
      <c r="C1660" t="str">
        <f>IFERROR(__xludf.DUMMYFUNCTION("GOOGLETRANSLATE(B1660, ""fr"", ""en"")"),"A package quickly received Parcels received before the end of the delivery period. Cartridges packed well. For print quality and longevity, I will answer when I used cartridges, which is not yet the case.")</f>
        <v>A package quickly received Parcels received before the end of the delivery period. Cartridges packed well. For print quality and longevity, I will answer when I used cartridges, which is not yet the case.</v>
      </c>
    </row>
    <row r="1661">
      <c r="A1661" s="1">
        <v>5.0</v>
      </c>
      <c r="B1661" s="1" t="s">
        <v>1654</v>
      </c>
      <c r="C1661" t="str">
        <f>IFERROR(__xludf.DUMMYFUNCTION("GOOGLETRANSLATE(B1661, ""fr"", ""en"")"),"Good price / quality jute twine classic. Fine but sufficient for the utility that I intend to do.")</f>
        <v>Good price / quality jute twine classic. Fine but sufficient for the utility that I intend to do.</v>
      </c>
    </row>
    <row r="1662">
      <c r="A1662" s="1">
        <v>5.0</v>
      </c>
      <c r="B1662" s="1" t="s">
        <v>1655</v>
      </c>
      <c r="C1662" t="str">
        <f>IFERROR(__xludf.DUMMYFUNCTION("GOOGLETRANSLATE(B1662, ""fr"", ""en"")"),"Necklace I just fell in love with this product. He looks beacoup more beautiful than in the picture and seems to be very expensive. The colors are very vivid and claires😍 This is a perfect gift and I will still buy another one for my sister.")</f>
        <v>Necklace I just fell in love with this product. He looks beacoup more beautiful than in the picture and seems to be very expensive. The colors are very vivid and claires😍 This is a perfect gift and I will still buy another one for my sister.</v>
      </c>
    </row>
    <row r="1663">
      <c r="A1663" s="1">
        <v>5.0</v>
      </c>
      <c r="B1663" s="1" t="s">
        <v>1656</v>
      </c>
      <c r="C1663" t="str">
        <f>IFERROR(__xludf.DUMMYFUNCTION("GOOGLETRANSLATE(B1663, ""fr"", ""en"")"),"The headset MPOW EM13 is really on top of the sound quality and comfort The headset has MPOW EM13 was really well designed small light is nice to reach the sound is perfect even outside in the garden the sound is top small is handy is very easy to use. By"&amp;" cons is a pity he did not box for storage and charge at the same time apart ca5je do not regret my purchase")</f>
        <v>The headset MPOW EM13 is really on top of the sound quality and comfort The headset has MPOW EM13 was really well designed small light is nice to reach the sound is perfect even outside in the garden the sound is top small is handy is very easy to use. By cons is a pity he did not box for storage and charge at the same time apart ca5je do not regret my purchase</v>
      </c>
    </row>
    <row r="1664">
      <c r="A1664" s="1">
        <v>5.0</v>
      </c>
      <c r="B1664" s="1" t="s">
        <v>1657</v>
      </c>
      <c r="C1664" t="str">
        <f>IFERROR(__xludf.DUMMYFUNCTION("GOOGLETRANSLATE(B1664, ""fr"", ""en"")"),"Super Good coat for this season Inter! Coat, fleece with hood. I like the cut and style, he will accompany me a few years. The texture appears strong and the overall quality is good (zipper, buttons, hood etc ...). I'm happy with my purchase!")</f>
        <v>Super Good coat for this season Inter! Coat, fleece with hood. I like the cut and style, he will accompany me a few years. The texture appears strong and the overall quality is good (zipper, buttons, hood etc ...). I'm happy with my purchase!</v>
      </c>
    </row>
    <row r="1665">
      <c r="A1665" s="1">
        <v>5.0</v>
      </c>
      <c r="B1665" s="1" t="s">
        <v>1658</v>
      </c>
      <c r="C1665" t="str">
        <f>IFERROR(__xludf.DUMMYFUNCTION("GOOGLETRANSLATE(B1665, ""fr"", ""en"")"),"Fan of the 80 Very nice watch for fans, it reminds me of my childhood memories, I have offered my 13 year old daughter who never left wrist.")</f>
        <v>Fan of the 80 Very nice watch for fans, it reminds me of my childhood memories, I have offered my 13 year old daughter who never left wrist.</v>
      </c>
    </row>
    <row r="1666">
      <c r="A1666" s="1">
        <v>5.0</v>
      </c>
      <c r="B1666" s="1" t="s">
        <v>1659</v>
      </c>
      <c r="C1666" t="str">
        <f>IFERROR(__xludf.DUMMYFUNCTION("GOOGLETRANSLATE(B1666, ""fr"", ""en"")"),"Very Good Very nice product and very good quality. Very easy to use. The beep will sound only enough without waking the whole house! Very design, I recommend completely")</f>
        <v>Very Good Very nice product and very good quality. Very easy to use. The beep will sound only enough without waking the whole house! Very design, I recommend completely</v>
      </c>
    </row>
    <row r="1667">
      <c r="A1667" s="1">
        <v>5.0</v>
      </c>
      <c r="B1667" s="1" t="s">
        <v>1660</v>
      </c>
      <c r="C1667" t="str">
        <f>IFERROR(__xludf.DUMMYFUNCTION("GOOGLETRANSLATE(B1667, ""fr"", ""en"")"),"Super perfect! The boss does not bother me park I do not put the secu ... It is pleasant and nice nothing to say .. and the price is great.")</f>
        <v>Super perfect! The boss does not bother me park I do not put the secu ... It is pleasant and nice nothing to say .. and the price is great.</v>
      </c>
    </row>
    <row r="1668">
      <c r="A1668" s="1">
        <v>5.0</v>
      </c>
      <c r="B1668" s="1" t="s">
        <v>1661</v>
      </c>
      <c r="C1668" t="str">
        <f>IFERROR(__xludf.DUMMYFUNCTION("GOOGLETRANSLATE(B1668, ""fr"", ""en"")"),"small tea ready, heats quickly. I use it every day, consider making a first rinse.")</f>
        <v>small tea ready, heats quickly. I use it every day, consider making a first rinse.</v>
      </c>
    </row>
    <row r="1669">
      <c r="A1669" s="1">
        <v>5.0</v>
      </c>
      <c r="B1669" s="1" t="s">
        <v>1662</v>
      </c>
      <c r="C1669" t="str">
        <f>IFERROR(__xludf.DUMMYFUNCTION("GOOGLETRANSLATE(B1669, ""fr"", ""en"")"),"I recommend for small budget much I appreciate this helmet and now more than a year that I lutilise. It is very comfortable and has a good quality bb for its price. This makes a very good value for money. I advice you tonight for you or for a gift")</f>
        <v>I recommend for small budget much I appreciate this helmet and now more than a year that I lutilise. It is very comfortable and has a good quality bb for its price. This makes a very good value for money. I advice you tonight for you or for a gift</v>
      </c>
    </row>
    <row r="1670">
      <c r="A1670" s="1">
        <v>5.0</v>
      </c>
      <c r="B1670" s="1" t="s">
        <v>1663</v>
      </c>
      <c r="C1670" t="str">
        <f>IFERROR(__xludf.DUMMYFUNCTION("GOOGLETRANSLATE(B1670, ""fr"", ""en"")"),"Very good cable I use it to connect my keyboard to my amp and he fills his role very well. Very good quality / price ratio, it seems solid and keep in time.")</f>
        <v>Very good cable I use it to connect my keyboard to my amp and he fills his role very well. Very good quality / price ratio, it seems solid and keep in time.</v>
      </c>
    </row>
    <row r="1671">
      <c r="A1671" s="1">
        <v>5.0</v>
      </c>
      <c r="B1671" s="1" t="s">
        <v>1664</v>
      </c>
      <c r="C1671" t="str">
        <f>IFERROR(__xludf.DUMMYFUNCTION("GOOGLETRANSLATE(B1671, ""fr"", ""en"")"),"Too big but beautiful sweater Pleasant, very sweet and funny inside her hood with the but really too big caught XXL ultimately a million would have been enough! According to your advice by looking at the size chart in order ... Back to the complicated exc"&amp;"hange, see impossible..je have sold a friend to put her dog in the pocket !! So be careful when you order for size ...")</f>
        <v>Too big but beautiful sweater Pleasant, very sweet and funny inside her hood with the but really too big caught XXL ultimately a million would have been enough! According to your advice by looking at the size chart in order ... Back to the complicated exchange, see impossible..je have sold a friend to put her dog in the pocket !! So be careful when you order for size ...</v>
      </c>
    </row>
    <row r="1672">
      <c r="A1672" s="1">
        <v>5.0</v>
      </c>
      <c r="B1672" s="1" t="s">
        <v>1665</v>
      </c>
      <c r="C1672" t="str">
        <f>IFERROR(__xludf.DUMMYFUNCTION("GOOGLETRANSLATE(B1672, ""fr"", ""en"")"),"Headphones on top! Headphones relatively well take the ears and the sound of good quality, it completely isolates the noise. For the battery well they hold around 7am but it depends on the volume.")</f>
        <v>Headphones on top! Headphones relatively well take the ears and the sound of good quality, it completely isolates the noise. For the battery well they hold around 7am but it depends on the volume.</v>
      </c>
    </row>
    <row r="1673">
      <c r="A1673" s="1">
        <v>5.0</v>
      </c>
      <c r="B1673" s="1" t="s">
        <v>1666</v>
      </c>
      <c r="C1673" t="str">
        <f>IFERROR(__xludf.DUMMYFUNCTION("GOOGLETRANSLATE(B1673, ""fr"", ""en"")"),"Top basketball Superb I also have one in the red top")</f>
        <v>Top basketball Superb I also have one in the red top</v>
      </c>
    </row>
    <row r="1674">
      <c r="A1674" s="1">
        <v>5.0</v>
      </c>
      <c r="B1674" s="1" t="s">
        <v>1667</v>
      </c>
      <c r="C1674" t="str">
        <f>IFERROR(__xludf.DUMMYFUNCTION("GOOGLETRANSLATE(B1674, ""fr"", ""en"")"),"Chain of good quality I recommend this security chain and is easy to put on and of good quality I'm reassured!")</f>
        <v>Chain of good quality I recommend this security chain and is easy to put on and of good quality I'm reassured!</v>
      </c>
    </row>
    <row r="1675">
      <c r="A1675" s="1">
        <v>5.0</v>
      </c>
      <c r="B1675" s="1" t="s">
        <v>1668</v>
      </c>
      <c r="C1675" t="str">
        <f>IFERROR(__xludf.DUMMYFUNCTION("GOOGLETRANSLATE(B1675, ""fr"", ""en"")"),"Please many A beautiful album offered to avoid chocolates traditional Advent calendars. Very pretty colors, read at least 30 times since early December, it is without doubt that in December will have 40 days this year! Happy Holidays to all.")</f>
        <v>Please many A beautiful album offered to avoid chocolates traditional Advent calendars. Very pretty colors, read at least 30 times since early December, it is without doubt that in December will have 40 days this year! Happy Holidays to all.</v>
      </c>
    </row>
    <row r="1676">
      <c r="A1676" s="1">
        <v>2.0</v>
      </c>
      <c r="B1676" s="1" t="s">
        <v>1669</v>
      </c>
      <c r="C1676" t="str">
        <f>IFERROR(__xludf.DUMMYFUNCTION("GOOGLETRANSLATE(B1676, ""fr"", ""en"")"),"VERY GOOD PRODUCT MY LITTLE SON IN THIS COLLECTION rafolle")</f>
        <v>VERY GOOD PRODUCT MY LITTLE SON IN THIS COLLECTION rafolle</v>
      </c>
    </row>
    <row r="1677">
      <c r="A1677" s="1">
        <v>1.0</v>
      </c>
      <c r="B1677" s="1" t="s">
        <v>1670</v>
      </c>
      <c r="C1677" t="str">
        <f>IFERROR(__xludf.DUMMYFUNCTION("GOOGLETRANSLATE(B1677, ""fr"", ""en"")"),"Sensitivity Rode VideoMic The Rode VideoMic Microphone Me Me microphone, soon received, immediately tested on Samsung Galaxy S4 and Galaxy Note 8, soon returned: microphone sensitivity ""directive"" disappointing. The recording level is less limited than "&amp;"the built-in microphones for mobile. Mitigation of ""noise"" side is certainly effective ... Material tested undisturbed closed place, without the windscreen anti wind, facing a TV (for sound and image). The recorded sound is beginning to be noticeable wi"&amp;"thin 1.5 meters of the audio source ... Not tested out, with the windshield ...!")</f>
        <v>Sensitivity Rode VideoMic The Rode VideoMic Microphone Me Me microphone, soon received, immediately tested on Samsung Galaxy S4 and Galaxy Note 8, soon returned: microphone sensitivity "directive" disappointing. The recording level is less limited than the built-in microphones for mobile. Mitigation of "noise" side is certainly effective ... Material tested undisturbed closed place, without the windscreen anti wind, facing a TV (for sound and image). The recorded sound is beginning to be noticeable within 1.5 meters of the audio source ... Not tested out, with the windshield ...!</v>
      </c>
    </row>
    <row r="1678">
      <c r="A1678" s="1">
        <v>1.0</v>
      </c>
      <c r="B1678" s="1" t="s">
        <v>1671</v>
      </c>
      <c r="C1678" t="str">
        <f>IFERROR(__xludf.DUMMYFUNCTION("GOOGLETRANSLATE(B1678, ""fr"", ""en"")"),"Move along Receipt already used tape to hold the water tank, the bristles on the plug, no protection cardboard or polystyrene in the carton (very damaged) containing the machine. Damage to pay a repackaged product as expensive as a new, and not be warned "&amp;"....")</f>
        <v>Move along Receipt already used tape to hold the water tank, the bristles on the plug, no protection cardboard or polystyrene in the carton (very damaged) containing the machine. Damage to pay a repackaged product as expensive as a new, and not be warned ....</v>
      </c>
    </row>
    <row r="1679">
      <c r="A1679" s="1">
        <v>3.0</v>
      </c>
      <c r="B1679" s="1" t="s">
        <v>1672</v>
      </c>
      <c r="C1679" t="str">
        <f>IFERROR(__xludf.DUMMYFUNCTION("GOOGLETRANSLATE(B1679, ""fr"", ""en"")"),"Good value These socks are very comfortable but alas 1 tennis match and already a bell.")</f>
        <v>Good value These socks are very comfortable but alas 1 tennis match and already a bell.</v>
      </c>
    </row>
    <row r="1680">
      <c r="A1680" s="1">
        <v>3.0</v>
      </c>
      <c r="B1680" s="1" t="s">
        <v>1673</v>
      </c>
      <c r="C1680" t="str">
        <f>IFERROR(__xludf.DUMMYFUNCTION("GOOGLETRANSLATE(B1680, ""fr"", ""en"")"),"Gibeciere Gibecière Visconti Visconti very consistent with my expectations. Very good value for money. Nice quality and finish. I have no regrets and I recommend")</f>
        <v>Gibeciere Gibecière Visconti Visconti very consistent with my expectations. Very good value for money. Nice quality and finish. I have no regrets and I recommend</v>
      </c>
    </row>
    <row r="1681">
      <c r="A1681" s="1">
        <v>4.0</v>
      </c>
      <c r="B1681" s="1" t="s">
        <v>1674</v>
      </c>
      <c r="C1681" t="str">
        <f>IFERROR(__xludf.DUMMYFUNCTION("GOOGLETRANSLATE(B1681, ""fr"", ""en"")"),"Meets Received description before the scheduled date consistent with the description. Satisfied with my purchase")</f>
        <v>Meets Received description before the scheduled date consistent with the description. Satisfied with my purchase</v>
      </c>
    </row>
    <row r="1682">
      <c r="A1682" s="1">
        <v>4.0</v>
      </c>
      <c r="B1682" s="1" t="s">
        <v>1675</v>
      </c>
      <c r="C1682" t="str">
        <f>IFERROR(__xludf.DUMMYFUNCTION("GOOGLETRANSLATE(B1682, ""fr"", ""en"")"),"Meets Sublime picture beautiful jewel necklace conform to the picture with very very pretty shade and a beautiful box that brings into the jewel.")</f>
        <v>Meets Sublime picture beautiful jewel necklace conform to the picture with very very pretty shade and a beautiful box that brings into the jewel.</v>
      </c>
    </row>
    <row r="1683">
      <c r="A1683" s="1">
        <v>4.0</v>
      </c>
      <c r="B1683" s="1" t="s">
        <v>1676</v>
      </c>
      <c r="C1683" t="str">
        <f>IFERROR(__xludf.DUMMYFUNCTION("GOOGLETRANSLATE(B1683, ""fr"", ""en"")"),"well It is a very good article I have not had any problems for this article which is much cheaper than the original")</f>
        <v>well It is a very good article I have not had any problems for this article which is much cheaper than the original</v>
      </c>
    </row>
    <row r="1684">
      <c r="A1684" s="1">
        <v>4.0</v>
      </c>
      <c r="B1684" s="1" t="s">
        <v>1677</v>
      </c>
      <c r="C1684" t="str">
        <f>IFERROR(__xludf.DUMMYFUNCTION("GOOGLETRANSLATE(B1684, ""fr"", ""en"")"),"Suunto original After 3 years of loyal daily services bracelet of my watch began showing weaknesses ... It was time to change. With my previous Suunto (older model) the change of the bracelet was very (VERY) wrong, making it unusable watch. This time not!"&amp;" First of all it must be emphasized that this is an original Suunto product. The received packet contains both arms of the bracelet, a manual, and the screws with spare bolts, and an adhesive tube. To replace a turn-screw T7 (in 5-pointed star) is require"&amp;"d and is not included. To remove the old bolts made a screwdriver 1.3 the case. The replacement took me about ten minutes. Being an original product no surprises the fit is perfect. Just to note the difference in design (see photo: the new is on the left "&amp;"and the former right) irrelevant in my opinion. The only negative glue to secure the clamping is to be or even the back of screw ... and given the size of the latter difficult to work properly. In short very satisfied ... My Ambit 3 went back for a ride!")</f>
        <v>Suunto original After 3 years of loyal daily services bracelet of my watch began showing weaknesses ... It was time to change. With my previous Suunto (older model) the change of the bracelet was very (VERY) wrong, making it unusable watch. This time not! First of all it must be emphasized that this is an original Suunto product. The received packet contains both arms of the bracelet, a manual, and the screws with spare bolts, and an adhesive tube. To replace a turn-screw T7 (in 5-pointed star) is required and is not included. To remove the old bolts made a screwdriver 1.3 the case. The replacement took me about ten minutes. Being an original product no surprises the fit is perfect. Just to note the difference in design (see photo: the new is on the left and the former right) irrelevant in my opinion. The only negative glue to secure the clamping is to be or even the back of screw ... and given the size of the latter difficult to work properly. In short very satisfied ... My Ambit 3 went back for a ride!</v>
      </c>
    </row>
    <row r="1685">
      <c r="A1685" s="1">
        <v>5.0</v>
      </c>
      <c r="B1685" s="1" t="s">
        <v>1678</v>
      </c>
      <c r="C1685" t="str">
        <f>IFERROR(__xludf.DUMMYFUNCTION("GOOGLETRANSLATE(B1685, ""fr"", ""en"")"),"Perfect well as 1 kit.")</f>
        <v>Perfect well as 1 kit.</v>
      </c>
    </row>
    <row r="1686">
      <c r="A1686" s="1">
        <v>5.0</v>
      </c>
      <c r="B1686" s="1" t="s">
        <v>1679</v>
      </c>
      <c r="C1686" t="str">
        <f>IFERROR(__xludf.DUMMYFUNCTION("GOOGLETRANSLATE(B1686, ""fr"", ""en"")"),"Really small !!! Beautiful object that works well The last dictaphone my daughter did not survive a fall amphi ... she opted for this model. Frankly the design of this dictation is really nice, and the small size is top !!! Leger, easy to use with good so"&amp;"und. She is very happy because it is really useful to take its course. Good gift for a student! I hope my review will be useful; )")</f>
        <v>Really small !!! Beautiful object that works well The last dictaphone my daughter did not survive a fall amphi ... she opted for this model. Frankly the design of this dictation is really nice, and the small size is top !!! Leger, easy to use with good sound. She is very happy because it is really useful to take its course. Good gift for a student! I hope my review will be useful; )</v>
      </c>
    </row>
    <row r="1687">
      <c r="A1687" s="1">
        <v>5.0</v>
      </c>
      <c r="B1687" s="1" t="s">
        <v>1680</v>
      </c>
      <c r="C1687" t="str">
        <f>IFERROR(__xludf.DUMMYFUNCTION("GOOGLETRANSLATE(B1687, ""fr"", ""en"")"),"Very good sound At its top super happy with my purchase because my daughter and I recommend happy thank you")</f>
        <v>Very good sound At its top super happy with my purchase because my daughter and I recommend happy thank you</v>
      </c>
    </row>
    <row r="1688">
      <c r="A1688" s="1">
        <v>5.0</v>
      </c>
      <c r="B1688" s="1" t="s">
        <v>1681</v>
      </c>
      <c r="C1688" t="str">
        <f>IFERROR(__xludf.DUMMYFUNCTION("GOOGLETRANSLATE(B1688, ""fr"", ""en"")"),"Perfect cartridges are perfect so that the original is no recognition problems with the printer and XL last much longer. They are also much cheaper than the store. I recommend them completely. I hope my review has been helpful.")</f>
        <v>Perfect cartridges are perfect so that the original is no recognition problems with the printer and XL last much longer. They are also much cheaper than the store. I recommend them completely. I hope my review has been helpful.</v>
      </c>
    </row>
    <row r="1689">
      <c r="A1689" s="1">
        <v>5.0</v>
      </c>
      <c r="B1689" s="1" t="s">
        <v>1682</v>
      </c>
      <c r="C1689" t="str">
        <f>IFERROR(__xludf.DUMMYFUNCTION("GOOGLETRANSLATE(B1689, ""fr"", ""en"")"),"Dodie Dodie rest ..... This set of 6 blue bottle is the perfect gift birth, for all moms know well, we never have enough bottles. The fact that there are 3 different sizes are helpful because at the smaller early enough then the medium and large when baby"&amp;" is bigger. And little can then be used for fruit juice or just water. The designs are very playful and triangular bottles, allows baby when he grows better take it alone. The teats are 3 speed and facilitates the flow of milk that one wishes for baby. In"&amp;" short, quality and brand that has nothing more to prove it. Even if they are a bit expensive, the expertise is there. I recommend +++")</f>
        <v>Dodie Dodie rest ..... This set of 6 blue bottle is the perfect gift birth, for all moms know well, we never have enough bottles. The fact that there are 3 different sizes are helpful because at the smaller early enough then the medium and large when baby is bigger. And little can then be used for fruit juice or just water. The designs are very playful and triangular bottles, allows baby when he grows better take it alone. The teats are 3 speed and facilitates the flow of milk that one wishes for baby. In short, quality and brand that has nothing more to prove it. Even if they are a bit expensive, the expertise is there. I recommend +++</v>
      </c>
    </row>
    <row r="1690">
      <c r="A1690" s="1">
        <v>5.0</v>
      </c>
      <c r="B1690" s="1" t="s">
        <v>224</v>
      </c>
      <c r="C1690" t="str">
        <f>IFERROR(__xludf.DUMMYFUNCTION("GOOGLETRANSLATE(B1690, ""fr"", ""en"")"),"perfect perfect")</f>
        <v>perfect perfect</v>
      </c>
    </row>
    <row r="1691">
      <c r="A1691" s="1">
        <v>5.0</v>
      </c>
      <c r="B1691" s="1" t="s">
        <v>1683</v>
      </c>
      <c r="C1691" t="str">
        <f>IFERROR(__xludf.DUMMYFUNCTION("GOOGLETRANSLATE(B1691, ""fr"", ""en"")"),"Same Basketball Perfect Great for anyone who works standing all day")</f>
        <v>Same Basketball Perfect Great for anyone who works standing all day</v>
      </c>
    </row>
    <row r="1692">
      <c r="A1692" s="1">
        <v>5.0</v>
      </c>
      <c r="B1692" s="1" t="s">
        <v>1684</v>
      </c>
      <c r="C1692" t="str">
        <f>IFERROR(__xludf.DUMMYFUNCTION("GOOGLETRANSLATE(B1692, ""fr"", ""en"")"),"Very happy I bought these socks for comfort and durability. Fully satisfied for the first aspect. They give a pleasant feeling and adapt well to the anatomy of the foot and lower leg without impeding the flow of blood. can wash at 40 ° so OK (lowest fails"&amp;"). It is too early to assess the life. But for now, this is my favorite choice.")</f>
        <v>Very happy I bought these socks for comfort and durability. Fully satisfied for the first aspect. They give a pleasant feeling and adapt well to the anatomy of the foot and lower leg without impeding the flow of blood. can wash at 40 ° so OK (lowest fails). It is too early to assess the life. But for now, this is my favorite choice.</v>
      </c>
    </row>
    <row r="1693">
      <c r="A1693" s="1">
        <v>5.0</v>
      </c>
      <c r="B1693" s="1" t="s">
        <v>1685</v>
      </c>
      <c r="C1693" t="str">
        <f>IFERROR(__xludf.DUMMYFUNCTION("GOOGLETRANSLATE(B1693, ""fr"", ""en"")"),"Comfortable My son loves these shoes. They are ideal for its strong and comfortable feet. Also effective against odors Good quality they last, I have recommended when changing size. Provide may be just one size bigger.")</f>
        <v>Comfortable My son loves these shoes. They are ideal for its strong and comfortable feet. Also effective against odors Good quality they last, I have recommended when changing size. Provide may be just one size bigger.</v>
      </c>
    </row>
    <row r="1694">
      <c r="A1694" s="1">
        <v>5.0</v>
      </c>
      <c r="B1694" s="1" t="s">
        <v>1686</v>
      </c>
      <c r="C1694" t="str">
        <f>IFERROR(__xludf.DUMMYFUNCTION("GOOGLETRANSLATE(B1694, ""fr"", ""en"")"),"OK even with the ""big"" feet I make the 45, with the Ras 41/46")</f>
        <v>OK even with the "big" feet I make the 45, with the Ras 41/46</v>
      </c>
    </row>
    <row r="1695">
      <c r="A1695" s="1">
        <v>5.0</v>
      </c>
      <c r="B1695" s="1" t="s">
        <v>1687</v>
      </c>
      <c r="C1695" t="str">
        <f>IFERROR(__xludf.DUMMYFUNCTION("GOOGLETRANSLATE(B1695, ""fr"", ""en"")"),"Super Super")</f>
        <v>Super Super</v>
      </c>
    </row>
    <row r="1696">
      <c r="A1696" s="1">
        <v>5.0</v>
      </c>
      <c r="B1696" s="1" t="s">
        <v>1688</v>
      </c>
      <c r="C1696" t="str">
        <f>IFERROR(__xludf.DUMMYFUNCTION("GOOGLETRANSLATE(B1696, ""fr"", ""en"")"),"Top Quality Magnificent shows")</f>
        <v>Top Quality Magnificent shows</v>
      </c>
    </row>
    <row r="1697">
      <c r="A1697" s="1">
        <v>5.0</v>
      </c>
      <c r="B1697" s="1" t="s">
        <v>1689</v>
      </c>
      <c r="C1697" t="str">
        <f>IFERROR(__xludf.DUMMYFUNCTION("GOOGLETRANSLATE(B1697, ""fr"", ""en"")"),"very well. I have a wide foot. With the tops of shoes, Velcro being, I am able to adjust my exact. depreciation on the plant excellent feet. I'm also a very big man, so I tend to be very hard on elements like shoes.as now, they remain very well.")</f>
        <v>very well. I have a wide foot. With the tops of shoes, Velcro being, I am able to adjust my exact. depreciation on the plant excellent feet. I'm also a very big man, so I tend to be very hard on elements like shoes.as now, they remain very well.</v>
      </c>
    </row>
    <row r="1698">
      <c r="A1698" s="1">
        <v>5.0</v>
      </c>
      <c r="B1698" s="1" t="s">
        <v>1690</v>
      </c>
      <c r="C1698" t="str">
        <f>IFERROR(__xludf.DUMMYFUNCTION("GOOGLETRANSLATE(B1698, ""fr"", ""en"")"),"Excellent shows cheap Unbeatable value for money. I love this watch. The bracelet quickly took a vintage leather color but I adore. Works very well. One detail: the sound of the second hand at night")</f>
        <v>Excellent shows cheap Unbeatable value for money. I love this watch. The bracelet quickly took a vintage leather color but I adore. Works very well. One detail: the sound of the second hand at night</v>
      </c>
    </row>
    <row r="1699">
      <c r="A1699" s="1">
        <v>5.0</v>
      </c>
      <c r="B1699" s="1" t="s">
        <v>1691</v>
      </c>
      <c r="C1699" t="str">
        <f>IFERROR(__xludf.DUMMYFUNCTION("GOOGLETRANSLATE(B1699, ""fr"", ""en"")"),"Magic Before I spent some good hundred in € Garmin trackers and other brands of high reputation, with several setbacks on the reliability and quality. I Wincase there with an efficient and reliable wristband for the 10th of the price of other brands. What"&amp;" more !!! Reliable and comfortable to wear it never leaves me. We bet that the quality is sustainable. Next to all these I can only recommend the purchase !!!")</f>
        <v>Magic Before I spent some good hundred in € Garmin trackers and other brands of high reputation, with several setbacks on the reliability and quality. I Wincase there with an efficient and reliable wristband for the 10th of the price of other brands. What more !!! Reliable and comfortable to wear it never leaves me. We bet that the quality is sustainable. Next to all these I can only recommend the purchase !!!</v>
      </c>
    </row>
    <row r="1700">
      <c r="A1700" s="1">
        <v>2.0</v>
      </c>
      <c r="B1700" s="1" t="s">
        <v>1692</v>
      </c>
      <c r="C1700" t="str">
        <f>IFERROR(__xludf.DUMMYFUNCTION("GOOGLETRANSLATE(B1700, ""fr"", ""en"")"),"Seams a little frail Nice bag practical and not too expensive but do not ask him too. Fasteners seams are weak and tear rather easily. Do not overload therefore neither too shot. If your children have to pull your bag it may tear. After course some sewing"&amp;" and it holds much better than before but ...")</f>
        <v>Seams a little frail Nice bag practical and not too expensive but do not ask him too. Fasteners seams are weak and tear rather easily. Do not overload therefore neither too shot. If your children have to pull your bag it may tear. After course some sewing and it holds much better than before but ...</v>
      </c>
    </row>
    <row r="1701">
      <c r="A1701" s="1">
        <v>1.0</v>
      </c>
      <c r="B1701" s="1" t="s">
        <v>1693</v>
      </c>
      <c r="C1701" t="str">
        <f>IFERROR(__xludf.DUMMYFUNCTION("GOOGLETRANSLATE(B1701, ""fr"", ""en"")"),"Socks Socks dutout avoid uncomfortable. I have shed because my daughter does not support them. Printing wear synthetic 😱 I highly recommend.")</f>
        <v>Socks Socks dutout avoid uncomfortable. I have shed because my daughter does not support them. Printing wear synthetic 😱 I highly recommend.</v>
      </c>
    </row>
    <row r="1702">
      <c r="A1702" s="1">
        <v>1.0</v>
      </c>
      <c r="B1702" s="1" t="s">
        <v>1694</v>
      </c>
      <c r="C1702" t="str">
        <f>IFERROR(__xludf.DUMMYFUNCTION("GOOGLETRANSLATE(B1702, ""fr"", ""en"")"),"quality defect after a month After a month one of the 2 A black eighth off the zipper is mysteriously removed (as crumbled). Unable to return the product because the purchase date there just a month how to operate the SVP warranty? I am very surprised at "&amp;"the low quality of this kit is used to the Eastpak products.")</f>
        <v>quality defect after a month After a month one of the 2 A black eighth off the zipper is mysteriously removed (as crumbled). Unable to return the product because the purchase date there just a month how to operate the SVP warranty? I am very surprised at the low quality of this kit is used to the Eastpak products.</v>
      </c>
    </row>
    <row r="1703">
      <c r="A1703" s="1">
        <v>3.0</v>
      </c>
      <c r="B1703" s="1" t="s">
        <v>1695</v>
      </c>
      <c r="C1703" t="str">
        <f>IFERROR(__xludf.DUMMYFUNCTION("GOOGLETRANSLATE(B1703, ""fr"", ""en"")"),"damage received in due time but too small not suitable for a wallet, a mobile (6 ''), door map (car papers) or 2/3 small things with")</f>
        <v>damage received in due time but too small not suitable for a wallet, a mobile (6 ''), door map (car papers) or 2/3 small things with</v>
      </c>
    </row>
    <row r="1704">
      <c r="A1704" s="1">
        <v>3.0</v>
      </c>
      <c r="B1704" s="1" t="s">
        <v>1696</v>
      </c>
      <c r="C1704" t="str">
        <f>IFERROR(__xludf.DUMMYFUNCTION("GOOGLETRANSLATE(B1704, ""fr"", ""en"")"),"size large, improper color a bit large size and the color yellow is rather old stale mustard. But overall, it's comfortable.")</f>
        <v>size large, improper color a bit large size and the color yellow is rather old stale mustard. But overall, it's comfortable.</v>
      </c>
    </row>
    <row r="1705">
      <c r="A1705" s="1">
        <v>4.0</v>
      </c>
      <c r="B1705" s="1" t="s">
        <v>1697</v>
      </c>
      <c r="C1705" t="str">
        <f>IFERROR(__xludf.DUMMYFUNCTION("GOOGLETRANSLATE(B1705, ""fr"", ""en"")"),"Buy it! I decided to listen to the comments of each of these headphones and I can say that I am not at all disappointed! Comfort excellent, its a good quality for the price and easily stowable. It is very discreet and does not attract attention on the str"&amp;"eet is what I was looking first. The only downside is that the battery is displayed only when one connects a device, why not make a special touch to battery rating of the control buttons next time? Despite this, the 18 times are insured 👍🏾 Anyway, nothi"&amp;"ng to say, buy it.")</f>
        <v>Buy it! I decided to listen to the comments of each of these headphones and I can say that I am not at all disappointed! Comfort excellent, its a good quality for the price and easily stowable. It is very discreet and does not attract attention on the street is what I was looking first. The only downside is that the battery is displayed only when one connects a device, why not make a special touch to battery rating of the control buttons next time? Despite this, the 18 times are insured 👍🏾 Anyway, nothing to say, buy it.</v>
      </c>
    </row>
    <row r="1706">
      <c r="A1706" s="1">
        <v>4.0</v>
      </c>
      <c r="B1706" s="1" t="s">
        <v>1698</v>
      </c>
      <c r="C1706" t="str">
        <f>IFERROR(__xludf.DUMMYFUNCTION("GOOGLETRANSLATE(B1706, ""fr"", ""en"")"),"very good headphones! very good reproduction of sounds. comfortable.")</f>
        <v>very good headphones! very good reproduction of sounds. comfortable.</v>
      </c>
    </row>
    <row r="1707">
      <c r="A1707" s="1">
        <v>4.0</v>
      </c>
      <c r="B1707" s="1" t="s">
        <v>1699</v>
      </c>
      <c r="C1707" t="str">
        <f>IFERROR(__xludf.DUMMYFUNCTION("GOOGLETRANSLATE(B1707, ""fr"", ""en"")"),"In principle bra lovely lifejackets are dark with average maintenance ....... They are very nice, beautiful lace, and very very good support that we do not end up with lifejackets simple, properly size (size L jack for 42 and 95B, it is perfect)")</f>
        <v>In principle bra lovely lifejackets are dark with average maintenance ....... They are very nice, beautiful lace, and very very good support that we do not end up with lifejackets simple, properly size (size L jack for 42 and 95B, it is perfect)</v>
      </c>
    </row>
    <row r="1708">
      <c r="A1708" s="1">
        <v>4.0</v>
      </c>
      <c r="B1708" s="1" t="s">
        <v>1700</v>
      </c>
      <c r="C1708" t="str">
        <f>IFERROR(__xludf.DUMMYFUNCTION("GOOGLETRANSLATE(B1708, ""fr"", ""en"")"),"good product good cutting edge quality, very consistent with the descritpion by well against waiting ca dry if everything disappears ...")</f>
        <v>good product good cutting edge quality, very consistent with the descritpion by well against waiting ca dry if everything disappears ...</v>
      </c>
    </row>
    <row r="1709">
      <c r="A1709" s="1">
        <v>5.0</v>
      </c>
      <c r="B1709" s="1" t="s">
        <v>1701</v>
      </c>
      <c r="C1709" t="str">
        <f>IFERROR(__xludf.DUMMYFUNCTION("GOOGLETRANSLATE(B1709, ""fr"", ""en"")"),"Ideal size for sport")</f>
        <v>Ideal size for sport</v>
      </c>
    </row>
    <row r="1710">
      <c r="A1710" s="1">
        <v>5.0</v>
      </c>
      <c r="B1710" s="1" t="s">
        <v>1702</v>
      </c>
      <c r="C1710" t="str">
        <f>IFERROR(__xludf.DUMMYFUNCTION("GOOGLETRANSLATE(B1710, ""fr"", ""en"")"),"pacifier dodie I use her nipples with mam baby bottles because my daughter accepts that these teats since it takes the bottle. Teats three speeds at a fair price and good qualities")</f>
        <v>pacifier dodie I use her nipples with mam baby bottles because my daughter accepts that these teats since it takes the bottle. Teats three speeds at a fair price and good qualities</v>
      </c>
    </row>
    <row r="1711">
      <c r="A1711" s="1">
        <v>5.0</v>
      </c>
      <c r="B1711" s="1" t="s">
        <v>1703</v>
      </c>
      <c r="C1711" t="str">
        <f>IFERROR(__xludf.DUMMYFUNCTION("GOOGLETRANSLATE(B1711, ""fr"", ""en"")"),"blue hooded fur lined hood My 12 years measuring 1 m 52 loved this super cool and trendy jacket teen. (XS) From German brand so no problem on the quality and the price is very affordable.")</f>
        <v>blue hooded fur lined hood My 12 years measuring 1 m 52 loved this super cool and trendy jacket teen. (XS) From German brand so no problem on the quality and the price is very affordable.</v>
      </c>
    </row>
    <row r="1712">
      <c r="A1712" s="1">
        <v>5.0</v>
      </c>
      <c r="B1712" s="1" t="s">
        <v>1704</v>
      </c>
      <c r="C1712" t="str">
        <f>IFERROR(__xludf.DUMMYFUNCTION("GOOGLETRANSLATE(B1712, ""fr"", ""en"")"),"Very good (a little right dimension) product according to the description (adhesion, color, texture). I rather regret having taken this dimension mouse mat (23 x 18 cm), it is a little too just to comfortably work ... Apart from that, nothing to say!")</f>
        <v>Very good (a little right dimension) product according to the description (adhesion, color, texture). I rather regret having taken this dimension mouse mat (23 x 18 cm), it is a little too just to comfortably work ... Apart from that, nothing to say!</v>
      </c>
    </row>
    <row r="1713">
      <c r="A1713" s="1">
        <v>5.0</v>
      </c>
      <c r="B1713" s="1" t="s">
        <v>1705</v>
      </c>
      <c r="C1713" t="str">
        <f>IFERROR(__xludf.DUMMYFUNCTION("GOOGLETRANSLATE(B1713, ""fr"", ""en"")"),"SUN VERY GOOD PRODUCT VERY WELL TANK CLEANING THE DISHWASHER. LESS EXPENSIVE THAN IN TRADE. MORE CONTENT BAG RETURNS WITHOUT PROBLEM IN THE WASH FUND.")</f>
        <v>SUN VERY GOOD PRODUCT VERY WELL TANK CLEANING THE DISHWASHER. LESS EXPENSIVE THAN IN TRADE. MORE CONTENT BAG RETURNS WITHOUT PROBLEM IN THE WASH FUND.</v>
      </c>
    </row>
    <row r="1714">
      <c r="A1714" s="1">
        <v>5.0</v>
      </c>
      <c r="B1714" s="1" t="s">
        <v>1706</v>
      </c>
      <c r="C1714" t="str">
        <f>IFERROR(__xludf.DUMMYFUNCTION("GOOGLETRANSLATE(B1714, ""fr"", ""en"")"),"Super Perfect beautiful")</f>
        <v>Super Perfect beautiful</v>
      </c>
    </row>
    <row r="1715">
      <c r="A1715" s="1">
        <v>5.0</v>
      </c>
      <c r="B1715" s="1" t="s">
        <v>1707</v>
      </c>
      <c r="C1715" t="str">
        <f>IFERROR(__xludf.DUMMYFUNCTION("GOOGLETRANSLATE(B1715, ""fr"", ""en"")"),"Very handy Super practical! Very fast for sterilization in the microwave! Ideal for busy moms who do not always have the time to wait until the water boils in the pot. The base can also be used as baby bottles to drip!")</f>
        <v>Very handy Super practical! Very fast for sterilization in the microwave! Ideal for busy moms who do not always have the time to wait until the water boils in the pot. The base can also be used as baby bottles to drip!</v>
      </c>
    </row>
    <row r="1716">
      <c r="A1716" s="1">
        <v>5.0</v>
      </c>
      <c r="B1716" s="1" t="s">
        <v>1708</v>
      </c>
      <c r="C1716" t="str">
        <f>IFERROR(__xludf.DUMMYFUNCTION("GOOGLETRANSLATE(B1716, ""fr"", ""en"")"),"Super comfortable safety shoe and pretty to wear safety footwear, for against very large size. Supplied with 2 pairs of laces black and red.")</f>
        <v>Super comfortable safety shoe and pretty to wear safety footwear, for against very large size. Supplied with 2 pairs of laces black and red.</v>
      </c>
    </row>
    <row r="1717">
      <c r="A1717" s="1">
        <v>5.0</v>
      </c>
      <c r="B1717" s="1" t="s">
        <v>1709</v>
      </c>
      <c r="C1717" t="str">
        <f>IFERROR(__xludf.DUMMYFUNCTION("GOOGLETRANSLATE(B1717, ""fr"", ""en"")"),"Very Good Very hot sweet nothing wrong.")</f>
        <v>Very Good Very hot sweet nothing wrong.</v>
      </c>
    </row>
    <row r="1718">
      <c r="A1718" s="1">
        <v>5.0</v>
      </c>
      <c r="B1718" s="1" t="s">
        <v>1710</v>
      </c>
      <c r="C1718" t="str">
        <f>IFERROR(__xludf.DUMMYFUNCTION("GOOGLETRANSLATE(B1718, ""fr"", ""en"")"),"magnificent Nickel")</f>
        <v>magnificent Nickel</v>
      </c>
    </row>
    <row r="1719">
      <c r="A1719" s="1">
        <v>5.0</v>
      </c>
      <c r="B1719" s="1" t="s">
        <v>1711</v>
      </c>
      <c r="C1719" t="str">
        <f>IFERROR(__xludf.DUMMYFUNCTION("GOOGLETRANSLATE(B1719, ""fr"", ""en"")"),"Good quality Very easy to set up, he takes a good hour and a half to build, two hours if you Take good time. Satisfied with the rendering of the box")</f>
        <v>Good quality Very easy to set up, he takes a good hour and a half to build, two hours if you Take good time. Satisfied with the rendering of the box</v>
      </c>
    </row>
    <row r="1720">
      <c r="A1720" s="1">
        <v>5.0</v>
      </c>
      <c r="B1720" s="1" t="s">
        <v>1712</v>
      </c>
      <c r="C1720" t="str">
        <f>IFERROR(__xludf.DUMMYFUNCTION("GOOGLETRANSLATE(B1720, ""fr"", ""en"")"),"Compliant Product delivered on time, conform to its description and works great! I got back on the road an old Technics SL-B210 which runs on top now!")</f>
        <v>Compliant Product delivered on time, conform to its description and works great! I got back on the road an old Technics SL-B210 which runs on top now!</v>
      </c>
    </row>
    <row r="1721">
      <c r="A1721" s="1">
        <v>5.0</v>
      </c>
      <c r="B1721" s="1" t="s">
        <v>1713</v>
      </c>
      <c r="C1721" t="str">
        <f>IFERROR(__xludf.DUMMYFUNCTION("GOOGLETRANSLATE(B1721, ""fr"", ""en"")"),"Meets my expectations Works well")</f>
        <v>Meets my expectations Works well</v>
      </c>
    </row>
    <row r="1722">
      <c r="A1722" s="1">
        <v>5.0</v>
      </c>
      <c r="B1722" s="1" t="s">
        <v>1714</v>
      </c>
      <c r="C1722" t="str">
        <f>IFERROR(__xludf.DUMMYFUNCTION("GOOGLETRANSLATE(B1722, ""fr"", ""en"")"),"Assessment I am really pleased with my commande.ces socks are both hot and resistantes.c is a good product quality.The quality / price is imbattable.je highly recommend this article")</f>
        <v>Assessment I am really pleased with my commande.ces socks are both hot and resistantes.c is a good product quality.The quality / price is imbattable.je highly recommend this article</v>
      </c>
    </row>
    <row r="1723">
      <c r="A1723" s="1">
        <v>5.0</v>
      </c>
      <c r="B1723" s="1" t="s">
        <v>1715</v>
      </c>
      <c r="C1723" t="str">
        <f>IFERROR(__xludf.DUMMYFUNCTION("GOOGLETRANSLATE(B1723, ""fr"", ""en"")"),"Comfort Hello, sweat pants are comfortable to wear. It is also well cut. It can be worn for a whole morning to go about its business. It will have a slight perspiration.")</f>
        <v>Comfort Hello, sweat pants are comfortable to wear. It is also well cut. It can be worn for a whole morning to go about its business. It will have a slight perspiration.</v>
      </c>
    </row>
    <row r="1724">
      <c r="A1724" s="1">
        <v>2.0</v>
      </c>
      <c r="B1724" s="1" t="s">
        <v>1716</v>
      </c>
      <c r="C1724" t="str">
        <f>IFERROR(__xludf.DUMMYFUNCTION("GOOGLETRANSLATE(B1724, ""fr"", ""en"")"),"Good but ... In itself this bottle warmer that does its job but least - the heating time is slightly wrong because for a bottle of 150ml in the normally heated and well it really hot spring must either submit a little is put on the potty ... fontion - wat"&amp;"er tends to overflow the bottle warmer as it mud. - when removing the cap to recover the bottle actually you can burn and resort in the water once. - systematically forced to put water in the water bath. In short it is not very practical. Pros: - it is sm"&amp;"all so saving space. - compatible with bottles Advent. I still think that PPUR facilitate heating the bottle (especially at night) should be reviewed 2/3 points.")</f>
        <v>Good but ... In itself this bottle warmer that does its job but least - the heating time is slightly wrong because for a bottle of 150ml in the normally heated and well it really hot spring must either submit a little is put on the potty ... fontion - water tends to overflow the bottle warmer as it mud. - when removing the cap to recover the bottle actually you can burn and resort in the water once. - systematically forced to put water in the water bath. In short it is not very practical. Pros: - it is small so saving space. - compatible with bottles Advent. I still think that PPUR facilitate heating the bottle (especially at night) should be reviewed 2/3 points.</v>
      </c>
    </row>
    <row r="1725">
      <c r="A1725" s="1">
        <v>1.0</v>
      </c>
      <c r="B1725" s="1" t="s">
        <v>1717</v>
      </c>
      <c r="C1725" t="str">
        <f>IFERROR(__xludf.DUMMYFUNCTION("GOOGLETRANSLATE(B1725, ""fr"", ""en"")"),"Bad size. Order Receipts size XL shirt which seems to me to be M.Je size is 1.90m 75kgs to see so inutilisable.Faudrais has put correctement.Merci sizes.")</f>
        <v>Bad size. Order Receipts size XL shirt which seems to me to be M.Je size is 1.90m 75kgs to see so inutilisable.Faudrais has put correctement.Merci sizes.</v>
      </c>
    </row>
    <row r="1726">
      <c r="A1726" s="1">
        <v>1.0</v>
      </c>
      <c r="B1726" s="1" t="s">
        <v>1718</v>
      </c>
      <c r="C1726" t="str">
        <f>IFERROR(__xludf.DUMMYFUNCTION("GOOGLETRANSLATE(B1726, ""fr"", ""en"")"),"decue There pads in the throat supports that move in every wash! very difficult to recover conrrectement Not a very good support")</f>
        <v>decue There pads in the throat supports that move in every wash! very difficult to recover conrrectement Not a very good support</v>
      </c>
    </row>
    <row r="1727">
      <c r="A1727" s="1">
        <v>3.0</v>
      </c>
      <c r="B1727" s="1" t="s">
        <v>1719</v>
      </c>
      <c r="C1727" t="str">
        <f>IFERROR(__xludf.DUMMYFUNCTION("GOOGLETRANSLATE(B1727, ""fr"", ""en"")"),"Quality item but not good smells good quality product and good presentable but be careful they do not feel very good we still be on citrus or eucalyptus styles, but not modern and pleasant odor")</f>
        <v>Quality item but not good smells good quality product and good presentable but be careful they do not feel very good we still be on citrus or eucalyptus styles, but not modern and pleasant odor</v>
      </c>
    </row>
    <row r="1728">
      <c r="A1728" s="1">
        <v>4.0</v>
      </c>
      <c r="B1728" s="1" t="s">
        <v>1720</v>
      </c>
      <c r="C1728" t="str">
        <f>IFERROR(__xludf.DUMMYFUNCTION("GOOGLETRANSLATE(B1728, ""fr"", ""en"")"),"Discreet discreet, easy to use.")</f>
        <v>Discreet discreet, easy to use.</v>
      </c>
    </row>
    <row r="1729">
      <c r="A1729" s="1">
        <v>4.0</v>
      </c>
      <c r="B1729" s="1" t="s">
        <v>1721</v>
      </c>
      <c r="C1729" t="str">
        <f>IFERROR(__xludf.DUMMYFUNCTION("GOOGLETRANSLATE(B1729, ""fr"", ""en"")"),"Good but late Attention follower of Puma socks, I took it between another for sporting use, is to forget immediately. The fabric is nice, but very fine, it is to bring in city sneakers, to get out and walk around, but do not expect in any case to it for r"&amp;"unning or tennis. Otherwise, as always with Puma, the sock is good, seems to hold the wash.")</f>
        <v>Good but late Attention follower of Puma socks, I took it between another for sporting use, is to forget immediately. The fabric is nice, but very fine, it is to bring in city sneakers, to get out and walk around, but do not expect in any case to it for running or tennis. Otherwise, as always with Puma, the sock is good, seems to hold the wash.</v>
      </c>
    </row>
    <row r="1730">
      <c r="A1730" s="1">
        <v>4.0</v>
      </c>
      <c r="B1730" s="1" t="s">
        <v>1722</v>
      </c>
      <c r="C1730" t="str">
        <f>IFERROR(__xludf.DUMMYFUNCTION("GOOGLETRANSLATE(B1730, ""fr"", ""en"")"),"Good socks well studied socks with toes and heels reinforced part. Do not cut off circulation, before putting, I've washed at 30 °. it's a bit narrow, but they can be put on without problem.")</f>
        <v>Good socks well studied socks with toes and heels reinforced part. Do not cut off circulation, before putting, I've washed at 30 °. it's a bit narrow, but they can be put on without problem.</v>
      </c>
    </row>
    <row r="1731">
      <c r="A1731" s="1">
        <v>4.0</v>
      </c>
      <c r="B1731" s="1" t="s">
        <v>1723</v>
      </c>
      <c r="C1731" t="str">
        <f>IFERROR(__xludf.DUMMYFUNCTION("GOOGLETRANSLATE(B1731, ""fr"", ""en"")"),"Usual Daily and much cheaper than tobacco!")</f>
        <v>Usual Daily and much cheaper than tobacco!</v>
      </c>
    </row>
    <row r="1732">
      <c r="A1732" s="1">
        <v>5.0</v>
      </c>
      <c r="B1732" s="1" t="s">
        <v>1724</v>
      </c>
      <c r="C1732" t="str">
        <f>IFERROR(__xludf.DUMMYFUNCTION("GOOGLETRANSLATE(B1732, ""fr"", ""en"")"),"great perfect for led alimention and 110 v")</f>
        <v>great perfect for led alimention and 110 v</v>
      </c>
    </row>
    <row r="1733">
      <c r="A1733" s="1">
        <v>5.0</v>
      </c>
      <c r="B1733" s="1" t="s">
        <v>1725</v>
      </c>
      <c r="C1733" t="str">
        <f>IFERROR(__xludf.DUMMYFUNCTION("GOOGLETRANSLATE(B1733, ""fr"", ""en"")"),"This sublime bola is just beautiful, very good quality. The ringing is discreet and very pleasant. I am delighted with this purchase!")</f>
        <v>This sublime bola is just beautiful, very good quality. The ringing is discreet and very pleasant. I am delighted with this purchase!</v>
      </c>
    </row>
    <row r="1734">
      <c r="A1734" s="1">
        <v>5.0</v>
      </c>
      <c r="B1734" s="1" t="s">
        <v>1726</v>
      </c>
      <c r="C1734" t="str">
        <f>IFERROR(__xludf.DUMMYFUNCTION("GOOGLETRANSLATE(B1734, ""fr"", ""en"")"),"Top Super'produit Very easy to use even for very young bin'e quality and the sound is great")</f>
        <v>Top Super'produit Very easy to use even for very young bin'e quality and the sound is great</v>
      </c>
    </row>
    <row r="1735">
      <c r="A1735" s="1">
        <v>5.0</v>
      </c>
      <c r="B1735" s="1" t="s">
        <v>1727</v>
      </c>
      <c r="C1735" t="str">
        <f>IFERROR(__xludf.DUMMYFUNCTION("GOOGLETRANSLATE(B1735, ""fr"", ""en"")"),"Shoes comply super lightweight shoes well protected I use them for two weeks to work any problems I recommend.")</f>
        <v>Shoes comply super lightweight shoes well protected I use them for two weeks to work any problems I recommend.</v>
      </c>
    </row>
    <row r="1736">
      <c r="A1736" s="1">
        <v>5.0</v>
      </c>
      <c r="B1736" s="1" t="s">
        <v>1728</v>
      </c>
      <c r="C1736" t="str">
        <f>IFERROR(__xludf.DUMMYFUNCTION("GOOGLETRANSLATE(B1736, ""fr"", ""en"")"),"Pretty Gorgeous colors")</f>
        <v>Pretty Gorgeous colors</v>
      </c>
    </row>
    <row r="1737">
      <c r="A1737" s="1">
        <v>5.0</v>
      </c>
      <c r="B1737" s="1" t="s">
        <v>1729</v>
      </c>
      <c r="C1737" t="str">
        <f>IFERROR(__xludf.DUMMYFUNCTION("GOOGLETRANSLATE(B1737, ""fr"", ""en"")"),"Perfect I has tried several brands but this one is better, does not fall, does not slip. the difference is seen")</f>
        <v>Perfect I has tried several brands but this one is better, does not fall, does not slip. the difference is seen</v>
      </c>
    </row>
    <row r="1738">
      <c r="A1738" s="1">
        <v>5.0</v>
      </c>
      <c r="B1738" s="1" t="s">
        <v>1730</v>
      </c>
      <c r="C1738" t="str">
        <f>IFERROR(__xludf.DUMMYFUNCTION("GOOGLETRANSLATE(B1738, ""fr"", ""en"")"),"Consistent with the description and urges article comes with a day late. But exactly with the description. sturdy table, comfortable for a first treatment table I highly recommend. Very good quality.")</f>
        <v>Consistent with the description and urges article comes with a day late. But exactly with the description. sturdy table, comfortable for a first treatment table I highly recommend. Very good quality.</v>
      </c>
    </row>
    <row r="1739">
      <c r="A1739" s="1">
        <v>5.0</v>
      </c>
      <c r="B1739" s="1" t="s">
        <v>1731</v>
      </c>
      <c r="C1739" t="str">
        <f>IFERROR(__xludf.DUMMYFUNCTION("GOOGLETRANSLATE(B1739, ""fr"", ""en"")"),"Very good quality product")</f>
        <v>Very good quality product</v>
      </c>
    </row>
    <row r="1740">
      <c r="A1740" s="1">
        <v>5.0</v>
      </c>
      <c r="B1740" s="1" t="s">
        <v>1732</v>
      </c>
      <c r="C1740" t="str">
        <f>IFERROR(__xludf.DUMMYFUNCTION("GOOGLETRANSLATE(B1740, ""fr"", ""en"")"),"Superb sweater !!! Buy this winter I often door has not moved washing")</f>
        <v>Superb sweater !!! Buy this winter I often door has not moved washing</v>
      </c>
    </row>
    <row r="1741">
      <c r="A1741" s="1">
        <v>5.0</v>
      </c>
      <c r="B1741" s="1" t="s">
        <v>1733</v>
      </c>
      <c r="C1741" t="str">
        <f>IFERROR(__xludf.DUMMYFUNCTION("GOOGLETRANSLATE(B1741, ""fr"", ""en"")"),"Oh, geniale I have back problems. Three interventions already (herniated disc and arthrodesis). You can choose between three temperature. It takes some time for AC heater. What I did is that I put on a timer (not included). Automatically, the timer operat"&amp;"es in the lowest temperature. But it's nickel. As soon as I get into bed, the bed temperature is super nice (lukewarm, not hot). If I want a little more heat, I adjust the tuning Minute. Very good buy. And very good brand.")</f>
        <v>Oh, geniale I have back problems. Three interventions already (herniated disc and arthrodesis). You can choose between three temperature. It takes some time for AC heater. What I did is that I put on a timer (not included). Automatically, the timer operates in the lowest temperature. But it's nickel. As soon as I get into bed, the bed temperature is super nice (lukewarm, not hot). If I want a little more heat, I adjust the tuning Minute. Very good buy. And very good brand.</v>
      </c>
    </row>
    <row r="1742">
      <c r="A1742" s="1">
        <v>5.0</v>
      </c>
      <c r="B1742" s="1" t="s">
        <v>1734</v>
      </c>
      <c r="C1742" t="str">
        <f>IFERROR(__xludf.DUMMYFUNCTION("GOOGLETRANSLATE(B1742, ""fr"", ""en"")"),"Modern Super quality")</f>
        <v>Modern Super quality</v>
      </c>
    </row>
    <row r="1743">
      <c r="A1743" s="1">
        <v>5.0</v>
      </c>
      <c r="B1743" s="1" t="s">
        <v>1735</v>
      </c>
      <c r="C1743" t="str">
        <f>IFERROR(__xludf.DUMMYFUNCTION("GOOGLETRANSLATE(B1743, ""fr"", ""en"")"),"Too beautiful, I love really beautiful, shoe size and correct and the barrel price (compared to other resellers of the brand)")</f>
        <v>Too beautiful, I love really beautiful, shoe size and correct and the barrel price (compared to other resellers of the brand)</v>
      </c>
    </row>
    <row r="1744">
      <c r="A1744" s="1">
        <v>5.0</v>
      </c>
      <c r="B1744" s="1" t="s">
        <v>1736</v>
      </c>
      <c r="C1744" t="str">
        <f>IFERROR(__xludf.DUMMYFUNCTION("GOOGLETRANSLATE(B1744, ""fr"", ""en"")"),"Great product to top Please just fast delivery I can listen quietly Netflix sound is like in the movies I recommend go for")</f>
        <v>Great product to top Please just fast delivery I can listen quietly Netflix sound is like in the movies I recommend go for</v>
      </c>
    </row>
    <row r="1745">
      <c r="A1745" s="1">
        <v>5.0</v>
      </c>
      <c r="B1745" s="1" t="s">
        <v>1737</v>
      </c>
      <c r="C1745" t="str">
        <f>IFERROR(__xludf.DUMMYFUNCTION("GOOGLETRANSLATE(B1745, ""fr"", ""en"")"),"Very satisfied Very satisfied")</f>
        <v>Very satisfied Very satisfied</v>
      </c>
    </row>
    <row r="1746">
      <c r="A1746" s="1">
        <v>5.0</v>
      </c>
      <c r="B1746" s="1" t="s">
        <v>1738</v>
      </c>
      <c r="C1746" t="str">
        <f>IFERROR(__xludf.DUMMYFUNCTION("GOOGLETRANSLATE(B1746, ""fr"", ""en"")"),"Pretty, practical, perfect! This batch of bottles is at first sight very pretty, the colors are nice, the decor lovely. The shape of the bottles allows growing baby to hold easily by himself. The cap is convenient and uncapped with one hand (a big plus wh"&amp;"en you're Mom and you always have your hands full). The round teats (but not wider) are classic but well suited because breastfeeding is already far for us. Cleaning is easy for both the body of the bottle for pacifiers. The Dodie brand never disappoints "&amp;"us, it's pretty, it's solid, it's convenient, you trust 100%, what more? In addition, this lot can make a nice gift of birth. I recommend, yes, without hesitation!")</f>
        <v>Pretty, practical, perfect! This batch of bottles is at first sight very pretty, the colors are nice, the decor lovely. The shape of the bottles allows growing baby to hold easily by himself. The cap is convenient and uncapped with one hand (a big plus when you're Mom and you always have your hands full). The round teats (but not wider) are classic but well suited because breastfeeding is already far for us. Cleaning is easy for both the body of the bottle for pacifiers. The Dodie brand never disappoints us, it's pretty, it's solid, it's convenient, you trust 100%, what more? In addition, this lot can make a nice gift of birth. I recommend, yes, without hesitation!</v>
      </c>
    </row>
    <row r="1747">
      <c r="A1747" s="1">
        <v>2.0</v>
      </c>
      <c r="B1747" s="1" t="s">
        <v>1739</v>
      </c>
      <c r="C1747" t="str">
        <f>IFERROR(__xludf.DUMMYFUNCTION("GOOGLETRANSLATE(B1747, ""fr"", ""en"")"),"Moderately satisfied Working Out 39 I took the 40 but it is a ""40"" small I feel to have 38 feet ...")</f>
        <v>Moderately satisfied Working Out 39 I took the 40 but it is a "40" small I feel to have 38 feet ...</v>
      </c>
    </row>
    <row r="1748">
      <c r="A1748" s="1">
        <v>1.0</v>
      </c>
      <c r="B1748" s="1" t="s">
        <v>1740</v>
      </c>
      <c r="C1748" t="str">
        <f>IFERROR(__xludf.DUMMYFUNCTION("GOOGLETRANSLATE(B1748, ""fr"", ""en"")"),"Tong The item was returned because much larger than the corresponding size. The product matches the photo. A bit expensive for flip-flops.")</f>
        <v>Tong The item was returned because much larger than the corresponding size. The product matches the photo. A bit expensive for flip-flops.</v>
      </c>
    </row>
    <row r="1749">
      <c r="A1749" s="1">
        <v>3.0</v>
      </c>
      <c r="B1749" s="1" t="s">
        <v>1417</v>
      </c>
      <c r="C1749" t="str">
        <f>IFERROR(__xludf.DUMMYFUNCTION("GOOGLETRANSLATE(B1749, ""fr"", ""en"")"),"ras ras")</f>
        <v>ras ras</v>
      </c>
    </row>
    <row r="1750">
      <c r="A1750" s="1">
        <v>3.0</v>
      </c>
      <c r="B1750" s="1" t="s">
        <v>1741</v>
      </c>
      <c r="C1750" t="str">
        <f>IFERROR(__xludf.DUMMYFUNCTION("GOOGLETRANSLATE(B1750, ""fr"", ""en"")"),"Good but very fragile I am a school teacher and the mother of the party I have made with my students earrings product matches the description the only problem is that on 3 breaks mounting so handle with care")</f>
        <v>Good but very fragile I am a school teacher and the mother of the party I have made with my students earrings product matches the description the only problem is that on 3 breaks mounting so handle with care</v>
      </c>
    </row>
    <row r="1751">
      <c r="A1751" s="1">
        <v>4.0</v>
      </c>
      <c r="B1751" s="1" t="s">
        <v>1742</v>
      </c>
      <c r="C1751" t="str">
        <f>IFERROR(__xludf.DUMMYFUNCTION("GOOGLETRANSLATE(B1751, ""fr"", ""en"")"),"Command compliant command conforming")</f>
        <v>Command compliant command conforming</v>
      </c>
    </row>
    <row r="1752">
      <c r="A1752" s="1">
        <v>4.0</v>
      </c>
      <c r="B1752" s="1" t="s">
        <v>1743</v>
      </c>
      <c r="C1752" t="str">
        <f>IFERROR(__xludf.DUMMYFUNCTION("GOOGLETRANSLATE(B1752, ""fr"", ""en"")"),"Quality and silent in the print jobs ... Quiet! Not too expensive compared to other brands! Its strong point: it accepts generic cartridges.")</f>
        <v>Quality and silent in the print jobs ... Quiet! Not too expensive compared to other brands! Its strong point: it accepts generic cartridges.</v>
      </c>
    </row>
    <row r="1753">
      <c r="A1753" s="1">
        <v>4.0</v>
      </c>
      <c r="B1753" s="1" t="s">
        <v>1744</v>
      </c>
      <c r="C1753" t="str">
        <f>IFERROR(__xludf.DUMMYFUNCTION("GOOGLETRANSLATE(B1753, ""fr"", ""en"")"),"Material, color, pockets all is well I bought this bag for everyday life. It is very soft and comfortable material. Small flat on the runners (the part that is taken strawberry and slide open the zip) that are a little chipped. But the ""&amp; nbsp; closing i"&amp;"s easy and fluid. Many pocket that are dealt face up against us and not outwards As opposed to before logo. Ideal for not cluttering And take just the basics. The format is ideal.")</f>
        <v>Material, color, pockets all is well I bought this bag for everyday life. It is very soft and comfortable material. Small flat on the runners (the part that is taken strawberry and slide open the zip) that are a little chipped. But the "&amp; nbsp; closing is easy and fluid. Many pocket that are dealt face up against us and not outwards As opposed to before logo. Ideal for not cluttering And take just the basics. The format is ideal.</v>
      </c>
    </row>
    <row r="1754">
      <c r="A1754" s="1">
        <v>4.0</v>
      </c>
      <c r="B1754" s="1" t="s">
        <v>1745</v>
      </c>
      <c r="C1754" t="str">
        <f>IFERROR(__xludf.DUMMYFUNCTION("GOOGLETRANSLATE(B1754, ""fr"", ""en"")"),"Bra Sports Bras on top, nicquel maintenance. They dry quickly! Only small problem, they keep warm ... but they have become indispensable to me")</f>
        <v>Bra Sports Bras on top, nicquel maintenance. They dry quickly! Only small problem, they keep warm ... but they have become indispensable to me</v>
      </c>
    </row>
    <row r="1755">
      <c r="A1755" s="1">
        <v>5.0</v>
      </c>
      <c r="B1755" s="1" t="s">
        <v>1746</v>
      </c>
      <c r="C1755" t="str">
        <f>IFERROR(__xludf.DUMMYFUNCTION("GOOGLETRANSLATE(B1755, ""fr"", ""en"")"),"Good deal Earring it seems to 2 euro. Good quality .on could almost believe that c is the or.malgre that are pending are slight porter.je has recommended you ladies for parties or other.")</f>
        <v>Good deal Earring it seems to 2 euro. Good quality .on could almost believe that c is the or.malgre that are pending are slight porter.je has recommended you ladies for parties or other.</v>
      </c>
    </row>
    <row r="1756">
      <c r="A1756" s="1">
        <v>5.0</v>
      </c>
      <c r="B1756" s="1" t="s">
        <v>1747</v>
      </c>
      <c r="C1756" t="str">
        <f>IFERROR(__xludf.DUMMYFUNCTION("GOOGLETRANSLATE(B1756, ""fr"", ""en"")"),"Really top !!! I recommend this sport together. I measure 1m67 and I size 38 down and 36 up. He sized me perfectly!")</f>
        <v>Really top !!! I recommend this sport together. I measure 1m67 and I size 38 down and 36 up. He sized me perfectly!</v>
      </c>
    </row>
    <row r="1757">
      <c r="A1757" s="1">
        <v>5.0</v>
      </c>
      <c r="B1757" s="1" t="s">
        <v>1748</v>
      </c>
      <c r="C1757" t="str">
        <f>IFERROR(__xludf.DUMMYFUNCTION("GOOGLETRANSLATE(B1757, ""fr"", ""en"")"),"Good etb earmuff Since I could compare TaoTroncs TT-BH22 Bose QC35II (but let us know that QC35II 5x average costs): Noise reduction: reduction TaoTronics offers performance up to 25% -30 % Bose QC35II. This is much less compared face to face, but TT is n"&amp;"evertheless quite useful at work or on the plane and allows to become familiar with the benefits of reduced active noise. Sound Quality: the sound quality is very good in TT and in a very surprisingly quick test it seems not far to that of Bose, in any ca"&amp;"se for a single use. Comfort: TaoTronics are comfortable to wear and similar to Bose. Both have a similar fork out mechanical engineering and can be bent in the same way. Interface: The interface controls is not ideal TT (no indication on, branch of the r"&amp;"eduction by a separate button). The characteristic sound of TT oddly exchange (bad) when noise reduction is disabled. Bose does not have this type of defects, in addition Bose has a mobile application for its configuration. Battery life: very satisfactory"&amp;" for TT seems to specification. Same for Bose. Overall, TT offers many features for its low price. Perfect for everyday use. Noise reduction is considerably lower compared to the market leader, but it is not ridiculous and supply additional comfort in noi"&amp;"sy places.")</f>
        <v>Good etb earmuff Since I could compare TaoTroncs TT-BH22 Bose QC35II (but let us know that QC35II 5x average costs): Noise reduction: reduction TaoTronics offers performance up to 25% -30 % Bose QC35II. This is much less compared face to face, but TT is nevertheless quite useful at work or on the plane and allows to become familiar with the benefits of reduced active noise. Sound Quality: the sound quality is very good in TT and in a very surprisingly quick test it seems not far to that of Bose, in any case for a single use. Comfort: TaoTronics are comfortable to wear and similar to Bose. Both have a similar fork out mechanical engineering and can be bent in the same way. Interface: The interface controls is not ideal TT (no indication on, branch of the reduction by a separate button). The characteristic sound of TT oddly exchange (bad) when noise reduction is disabled. Bose does not have this type of defects, in addition Bose has a mobile application for its configuration. Battery life: very satisfactory for TT seems to specification. Same for Bose. Overall, TT offers many features for its low price. Perfect for everyday use. Noise reduction is considerably lower compared to the market leader, but it is not ridiculous and supply additional comfort in noisy places.</v>
      </c>
    </row>
    <row r="1758">
      <c r="A1758" s="1">
        <v>5.0</v>
      </c>
      <c r="B1758" s="1" t="s">
        <v>1749</v>
      </c>
      <c r="C1758" t="str">
        <f>IFERROR(__xludf.DUMMYFUNCTION("GOOGLETRANSLATE(B1758, ""fr"", ""en"")"),"The perfect bag perfectly matches the description and photos. Good quality products Greatness allows to a laptop and several accessories")</f>
        <v>The perfect bag perfectly matches the description and photos. Good quality products Greatness allows to a laptop and several accessories</v>
      </c>
    </row>
    <row r="1759">
      <c r="A1759" s="1">
        <v>5.0</v>
      </c>
      <c r="B1759" s="1" t="s">
        <v>1750</v>
      </c>
      <c r="C1759" t="str">
        <f>IFERROR(__xludf.DUMMYFUNCTION("GOOGLETRANSLATE(B1759, ""fr"", ""en"")"),"Pretty Pretty And she heats my father adopted dad happy but happiness")</f>
        <v>Pretty Pretty And she heats my father adopted dad happy but happiness</v>
      </c>
    </row>
    <row r="1760">
      <c r="A1760" s="1">
        <v>5.0</v>
      </c>
      <c r="B1760" s="1" t="s">
        <v>1751</v>
      </c>
      <c r="C1760" t="str">
        <f>IFERROR(__xludf.DUMMYFUNCTION("GOOGLETRANSLATE(B1760, ""fr"", ""en"")"),"To comply refills printer photos, ideal for printing from time to time some pictures.")</f>
        <v>To comply refills printer photos, ideal for printing from time to time some pictures.</v>
      </c>
    </row>
    <row r="1761">
      <c r="A1761" s="1">
        <v>5.0</v>
      </c>
      <c r="B1761" s="1" t="s">
        <v>1752</v>
      </c>
      <c r="C1761" t="str">
        <f>IFERROR(__xludf.DUMMYFUNCTION("GOOGLETRANSLATE(B1761, ""fr"", ""en"")"),"Beautiful jewelry I gave this bracelet and I find it frankly very nice and gracious to a woman. It is a beautiful gift to")</f>
        <v>Beautiful jewelry I gave this bracelet and I find it frankly very nice and gracious to a woman. It is a beautiful gift to</v>
      </c>
    </row>
    <row r="1762">
      <c r="A1762" s="1">
        <v>5.0</v>
      </c>
      <c r="B1762" s="1" t="s">
        <v>1753</v>
      </c>
      <c r="C1762" t="str">
        <f>IFERROR(__xludf.DUMMYFUNCTION("GOOGLETRANSLATE(B1762, ""fr"", ""en"")"),"Purchase parfais! Purchasing parfais!")</f>
        <v>Purchase parfais! Purchasing parfais!</v>
      </c>
    </row>
    <row r="1763">
      <c r="A1763" s="1">
        <v>5.0</v>
      </c>
      <c r="B1763" s="1" t="s">
        <v>1754</v>
      </c>
      <c r="C1763" t="str">
        <f>IFERROR(__xludf.DUMMYFUNCTION("GOOGLETRANSLATE(B1763, ""fr"", ""en"")"),"very comfortable I bought these shoes for my teen son who usually covers only the brand, in addition to finding the ""too"" nice, he is really comfortable. I'm happy with my purchase especially at this price!")</f>
        <v>very comfortable I bought these shoes for my teen son who usually covers only the brand, in addition to finding the "too" nice, he is really comfortable. I'm happy with my purchase especially at this price!</v>
      </c>
    </row>
    <row r="1764">
      <c r="A1764" s="1">
        <v>5.0</v>
      </c>
      <c r="B1764" s="1" t="s">
        <v>1755</v>
      </c>
      <c r="C1764" t="str">
        <f>IFERROR(__xludf.DUMMYFUNCTION("GOOGLETRANSLATE(B1764, ""fr"", ""en"")"),"Invicta ... The lens diameter is 30 mm, 38 without measuring notched crown dive time, 40 with external teeth of the crown, which may be small for muscular people, who prefer strong, I guess a 45 mm. (Measures taken on a double decimeter, not foot slide av"&amp;"ailable). Not too heavy, well presented, leaving glass background see the mechanism and have read on the frame of the movement 24 jewels which I translate by 24 jewels, encouraging sign of a quality mechanism. My Seiko must have only 21 jewels. So satisfi"&amp;"ed that I command a second to offer. G.")</f>
        <v>Invicta ... The lens diameter is 30 mm, 38 without measuring notched crown dive time, 40 with external teeth of the crown, which may be small for muscular people, who prefer strong, I guess a 45 mm. (Measures taken on a double decimeter, not foot slide available). Not too heavy, well presented, leaving glass background see the mechanism and have read on the frame of the movement 24 jewels which I translate by 24 jewels, encouraging sign of a quality mechanism. My Seiko must have only 21 jewels. So satisfied that I command a second to offer. G.</v>
      </c>
    </row>
    <row r="1765">
      <c r="A1765" s="1">
        <v>5.0</v>
      </c>
      <c r="B1765" s="1" t="s">
        <v>1756</v>
      </c>
      <c r="C1765" t="str">
        <f>IFERROR(__xludf.DUMMYFUNCTION("GOOGLETRANSLATE(B1765, ""fr"", ""en"")"),"felts for great family afternoon of tranquility for all surfaces")</f>
        <v>felts for great family afternoon of tranquility for all surfaces</v>
      </c>
    </row>
    <row r="1766">
      <c r="A1766" s="1">
        <v>5.0</v>
      </c>
      <c r="B1766" s="1" t="s">
        <v>1757</v>
      </c>
      <c r="C1766" t="str">
        <f>IFERROR(__xludf.DUMMYFUNCTION("GOOGLETRANSLATE(B1766, ""fr"", ""en"")"),"Super Good product of very good quality")</f>
        <v>Super Good product of very good quality</v>
      </c>
    </row>
    <row r="1767">
      <c r="A1767" s="1">
        <v>5.0</v>
      </c>
      <c r="B1767" s="1" t="s">
        <v>1758</v>
      </c>
      <c r="C1767" t="str">
        <f>IFERROR(__xludf.DUMMYFUNCTION("GOOGLETRANSLATE(B1767, ""fr"", ""en"")"),"Quite consistent Good product, entirely consistent with the description. The oil is of good quality.")</f>
        <v>Quite consistent Good product, entirely consistent with the description. The oil is of good quality.</v>
      </c>
    </row>
    <row r="1768">
      <c r="A1768" s="1">
        <v>5.0</v>
      </c>
      <c r="B1768" s="1" t="s">
        <v>1759</v>
      </c>
      <c r="C1768" t="str">
        <f>IFERROR(__xludf.DUMMYFUNCTION("GOOGLETRANSLATE(B1768, ""fr"", ""en"")"),"What fangs No problems at all. robust and lightweight Crocs that can be used inside and out. Very good product that does not slip on the floor.")</f>
        <v>What fangs No problems at all. robust and lightweight Crocs that can be used inside and out. Very good product that does not slip on the floor.</v>
      </c>
    </row>
    <row r="1769">
      <c r="A1769" s="1">
        <v>5.0</v>
      </c>
      <c r="B1769" s="1" t="s">
        <v>1760</v>
      </c>
      <c r="C1769" t="str">
        <f>IFERROR(__xludf.DUMMYFUNCTION("GOOGLETRANSLATE(B1769, ""fr"", ""en"")"),"I recommend Comfortable, good size, good quality, it complies with the file. It looks good with my sports clothes, and bought two more after I tried the first.")</f>
        <v>I recommend Comfortable, good size, good quality, it complies with the file. It looks good with my sports clothes, and bought two more after I tried the first.</v>
      </c>
    </row>
    <row r="1770">
      <c r="A1770" s="1">
        <v>2.0</v>
      </c>
      <c r="B1770" s="1" t="s">
        <v>1761</v>
      </c>
      <c r="C1770" t="str">
        <f>IFERROR(__xludf.DUMMYFUNCTION("GOOGLETRANSLATE(B1770, ""fr"", ""en"")"),"Very average No adjustable shoulder strap. Zipper on the front very hard to utiliser.Je do not recommend the tout.Je am disappointed.")</f>
        <v>Very average No adjustable shoulder strap. Zipper on the front very hard to utiliser.Je do not recommend the tout.Je am disappointed.</v>
      </c>
    </row>
    <row r="1771">
      <c r="A1771" s="1">
        <v>1.0</v>
      </c>
      <c r="B1771" s="1" t="s">
        <v>1762</v>
      </c>
      <c r="C1771" t="str">
        <f>IFERROR(__xludf.DUMMYFUNCTION("GOOGLETRANSLATE(B1771, ""fr"", ""en"")"),"Warning not converse sneakers The suit me, for against beware not converse all star but a brand that's very well copied (if not counterfeit). Disappointed because I thought really bought converse ...")</f>
        <v>Warning not converse sneakers The suit me, for against beware not converse all star but a brand that's very well copied (if not counterfeit). Disappointed because I thought really bought converse ...</v>
      </c>
    </row>
    <row r="1772">
      <c r="A1772" s="1">
        <v>1.0</v>
      </c>
      <c r="B1772" s="1" t="s">
        <v>1763</v>
      </c>
      <c r="C1772" t="str">
        <f>IFERROR(__xludf.DUMMYFUNCTION("GOOGLETRANSLATE(B1772, ""fr"", ""en"")"),"The ""case"" is in its box. Product received with the sides of the flanges protruding in several places. I have not found immediately, for litters later. It was a repackaged product with the following information: dirt. Knowing well off this matter, I'm n"&amp;"ot worried and I thought make a deal. There was no dirt. It was an outright large manufacturing defect. It is irreparable given the color of porous leather shoes. Can not use a glue without impregnating leather and try. Dixit a shoemaker who does not want"&amp;" to take that risk. (While it is true goldsmith. ..). The ""case"" is in its box for months.")</f>
        <v>The "case" is in its box. Product received with the sides of the flanges protruding in several places. I have not found immediately, for litters later. It was a repackaged product with the following information: dirt. Knowing well off this matter, I'm not worried and I thought make a deal. There was no dirt. It was an outright large manufacturing defect. It is irreparable given the color of porous leather shoes. Can not use a glue without impregnating leather and try. Dixit a shoemaker who does not want to take that risk. (While it is true goldsmith. ..). The "case" is in its box for months.</v>
      </c>
    </row>
    <row r="1773">
      <c r="A1773" s="1">
        <v>3.0</v>
      </c>
      <c r="B1773" s="1" t="s">
        <v>1764</v>
      </c>
      <c r="C1773" t="str">
        <f>IFERROR(__xludf.DUMMYFUNCTION("GOOGLETRANSLATE(B1773, ""fr"", ""en"")"),"Pearl Andante Stones I bought these for my bracelet stoppers P ....... not easy to slip on the bracelet must really force.")</f>
        <v>Pearl Andante Stones I bought these for my bracelet stoppers P ....... not easy to slip on the bracelet must really force.</v>
      </c>
    </row>
    <row r="1774">
      <c r="A1774" s="1">
        <v>3.0</v>
      </c>
      <c r="B1774" s="1" t="s">
        <v>1765</v>
      </c>
      <c r="C1774" t="str">
        <f>IFERROR(__xludf.DUMMYFUNCTION("GOOGLETRANSLATE(B1774, ""fr"", ""en"")"),"It'll Currently there is nothing to be seen direIl suiteÇa the fact that two weeks I have good day")</f>
        <v>It'll Currently there is nothing to be seen direIl suiteÇa the fact that two weeks I have good day</v>
      </c>
    </row>
    <row r="1775">
      <c r="A1775" s="1">
        <v>4.0</v>
      </c>
      <c r="B1775" s="1" t="s">
        <v>1766</v>
      </c>
      <c r="C1775" t="str">
        <f>IFERROR(__xludf.DUMMYFUNCTION("GOOGLETRANSLATE(B1775, ""fr"", ""en"")"),"Use with caution Very good diffuser with beautiful colors. It is small and requires very little maintenance. It is not so loud as possible to let it run overnight without discomfort. The only complaint we get is the volume of water (150ml) which I think i"&amp;"s quite small if allowed to run 4 to 5 hours a day. PS: I notice a sharp price fluctuations for this diffuser. I bought there 15 days at € 11.99 and now it is 14.99 €. Be alert to price and Mr. The manufacturer if you read me, please be less greedy. Here "&amp;"is a list of different essential oils to use depending on your needs: 1. Difficulty falling asleep: the essential oils of ylang yang (enchanting fragrance), lavender and valerian are known to help sleep. Pour 4 drops ylang ylang and powerful enough for 4 "&amp;"to 5 drops for others. 2. Air purification: pour 4 to 5 drops of essential oils of lemon or lavender. &amp; Nbsp; 3. Boost energy and mind: pour 4 to 5 drops of essential oils of bergamot, or peppermint or clary sage (smell a bit repulsive to my taste but eff"&amp;"ective). 4- repels insects pour 4-5 drops of essential oils citronella, clove, or cedar. Remember to clean the diffuser pan vinegar to each use of various essential oils. If the smell of the oils do not mind you can increase the amount (5 to 7 drops). I b"&amp;"uy my essential oils from Aroma Zone. Good use and live the natural!")</f>
        <v>Use with caution Very good diffuser with beautiful colors. It is small and requires very little maintenance. It is not so loud as possible to let it run overnight without discomfort. The only complaint we get is the volume of water (150ml) which I think is quite small if allowed to run 4 to 5 hours a day. PS: I notice a sharp price fluctuations for this diffuser. I bought there 15 days at € 11.99 and now it is 14.99 €. Be alert to price and Mr. The manufacturer if you read me, please be less greedy. Here is a list of different essential oils to use depending on your needs: 1. Difficulty falling asleep: the essential oils of ylang yang (enchanting fragrance), lavender and valerian are known to help sleep. Pour 4 drops ylang ylang and powerful enough for 4 to 5 drops for others. 2. Air purification: pour 4 to 5 drops of essential oils of lemon or lavender. &amp; Nbsp; 3. Boost energy and mind: pour 4 to 5 drops of essential oils of bergamot, or peppermint or clary sage (smell a bit repulsive to my taste but effective). 4- repels insects pour 4-5 drops of essential oils citronella, clove, or cedar. Remember to clean the diffuser pan vinegar to each use of various essential oils. If the smell of the oils do not mind you can increase the amount (5 to 7 drops). I buy my essential oils from Aroma Zone. Good use and live the natural!</v>
      </c>
    </row>
    <row r="1776">
      <c r="A1776" s="1">
        <v>4.0</v>
      </c>
      <c r="B1776" s="1" t="s">
        <v>1767</v>
      </c>
      <c r="C1776" t="str">
        <f>IFERROR(__xludf.DUMMYFUNCTION("GOOGLETRANSLATE(B1776, ""fr"", ""en"")"),"Good bottle warmer J've swapped my bottle warmer Avent for it. Much faster and convenient. By co'tre I can not find the small heater function terrible pot is a long and often not at the right temperature")</f>
        <v>Good bottle warmer J've swapped my bottle warmer Avent for it. Much faster and convenient. By co'tre I can not find the small heater function terrible pot is a long and often not at the right temperature</v>
      </c>
    </row>
    <row r="1777">
      <c r="A1777" s="1">
        <v>4.0</v>
      </c>
      <c r="B1777" s="1" t="s">
        <v>1768</v>
      </c>
      <c r="C1777" t="str">
        <f>IFERROR(__xludf.DUMMYFUNCTION("GOOGLETRANSLATE(B1777, ""fr"", ""en"")"),"Ballerinas for international flights. Normal size. I bought these shoes for use in my travels long haul. 10 to 12 aircraft ... They are lightweight, comfortable, slip-resistant and smart ... and do not take much room. That's great ! I recommend.")</f>
        <v>Ballerinas for international flights. Normal size. I bought these shoes for use in my travels long haul. 10 to 12 aircraft ... They are lightweight, comfortable, slip-resistant and smart ... and do not take much room. That's great ! I recommend.</v>
      </c>
    </row>
    <row r="1778">
      <c r="A1778" s="1">
        <v>4.0</v>
      </c>
      <c r="B1778" s="1" t="s">
        <v>1769</v>
      </c>
      <c r="C1778" t="str">
        <f>IFERROR(__xludf.DUMMYFUNCTION("GOOGLETRANSLATE(B1778, ""fr"", ""en"")"),"Correct Good quality. .. fits the description .. less flexible than those I used to but usually without consequence")</f>
        <v>Correct Good quality. .. fits the description .. less flexible than those I used to but usually without consequence</v>
      </c>
    </row>
    <row r="1779">
      <c r="A1779" s="1">
        <v>5.0</v>
      </c>
      <c r="B1779" s="1" t="s">
        <v>1770</v>
      </c>
      <c r="C1779" t="str">
        <f>IFERROR(__xludf.DUMMYFUNCTION("GOOGLETRANSLATE(B1779, ""fr"", ""en"")"),"A simple but essential shows moderate price for this watch that offers the essential and above all a well-read dial. Look classic and understated. Free operation for 1 month.")</f>
        <v>A simple but essential shows moderate price for this watch that offers the essential and above all a well-read dial. Look classic and understated. Free operation for 1 month.</v>
      </c>
    </row>
    <row r="1780">
      <c r="A1780" s="1">
        <v>5.0</v>
      </c>
      <c r="B1780" s="1" t="s">
        <v>1771</v>
      </c>
      <c r="C1780" t="str">
        <f>IFERROR(__xludf.DUMMYFUNCTION("GOOGLETRANSLATE(B1780, ""fr"", ""en"")"),"Perfect and comfortable Very satisfied with my order, very light, perfect for if I wanted to. Comfortable ear.")</f>
        <v>Perfect and comfortable Very satisfied with my order, very light, perfect for if I wanted to. Comfortable ear.</v>
      </c>
    </row>
    <row r="1781">
      <c r="A1781" s="1">
        <v>5.0</v>
      </c>
      <c r="B1781" s="1" t="s">
        <v>1772</v>
      </c>
      <c r="C1781" t="str">
        <f>IFERROR(__xludf.DUMMYFUNCTION("GOOGLETRANSLATE(B1781, ""fr"", ""en"")"),"Good qualities and elegant Watch cheap for the quality of the product. Works great at first seen")</f>
        <v>Good qualities and elegant Watch cheap for the quality of the product. Works great at first seen</v>
      </c>
    </row>
    <row r="1782">
      <c r="A1782" s="1">
        <v>5.0</v>
      </c>
      <c r="B1782" s="1" t="s">
        <v>1773</v>
      </c>
      <c r="C1782" t="str">
        <f>IFERROR(__xludf.DUMMYFUNCTION("GOOGLETRANSLATE(B1782, ""fr"", ""en"")"),"it is a very functional machine Hello, very easy to install, very good print quality including photos. I recommend this machine, it brings together a lot of useful features.")</f>
        <v>it is a very functional machine Hello, very easy to install, very good print quality including photos. I recommend this machine, it brings together a lot of useful features.</v>
      </c>
    </row>
    <row r="1783">
      <c r="A1783" s="1">
        <v>5.0</v>
      </c>
      <c r="B1783" s="1" t="s">
        <v>1774</v>
      </c>
      <c r="C1783" t="str">
        <f>IFERROR(__xludf.DUMMYFUNCTION("GOOGLETRANSLATE(B1783, ""fr"", ""en"")"),"good gift")</f>
        <v>good gift</v>
      </c>
    </row>
    <row r="1784">
      <c r="A1784" s="1">
        <v>5.0</v>
      </c>
      <c r="B1784" s="1" t="s">
        <v>1775</v>
      </c>
      <c r="C1784" t="str">
        <f>IFERROR(__xludf.DUMMYFUNCTION("GOOGLETRANSLATE(B1784, ""fr"", ""en"")"),"AGAINST COLD Article a bit long to arrive, but it is there and is quite to my expectations. Well finished, nice, my dog ​​love it !! Difficult to assess the ideal size, I was wrong in my previous purchase.")</f>
        <v>AGAINST COLD Article a bit long to arrive, but it is there and is quite to my expectations. Well finished, nice, my dog ​​love it !! Difficult to assess the ideal size, I was wrong in my previous purchase.</v>
      </c>
    </row>
    <row r="1785">
      <c r="A1785" s="1">
        <v>5.0</v>
      </c>
      <c r="B1785" s="1" t="s">
        <v>1776</v>
      </c>
      <c r="C1785" t="str">
        <f>IFERROR(__xludf.DUMMYFUNCTION("GOOGLETRANSLATE(B1785, ""fr"", ""en"")"),"⭐ Beautiful G-Shock Red Color red ⭐ not too flashy, beautiful watch, my 6th G-Shock is in style. Timeless and solid, my older G-Shock was in 1999 purchased in Australia. For illumination of the dial, all watches of this series and the model with the light"&amp;" button at the bottom of the screen (GA-700) will illuminate very little. A simple diode. I had the Illuminator system on G-Shock in the 90s, it is unfortunate that it is not currently used on these watches. Anyway, as I rarely use the light that is not f"&amp;"atal. Information for potential buyers, purchased 59.99 € on 08/29/2017. As the price fluctuates, if it helps ... If you found my review helpful, please feel free to click ""USEFUL"" below, it's always fun :)")</f>
        <v>⭐ Beautiful G-Shock Red Color red ⭐ not too flashy, beautiful watch, my 6th G-Shock is in style. Timeless and solid, my older G-Shock was in 1999 purchased in Australia. For illumination of the dial, all watches of this series and the model with the light button at the bottom of the screen (GA-700) will illuminate very little. A simple diode. I had the Illuminator system on G-Shock in the 90s, it is unfortunate that it is not currently used on these watches. Anyway, as I rarely use the light that is not fatal. Information for potential buyers, purchased 59.99 € on 08/29/2017. As the price fluctuates, if it helps ... If you found my review helpful, please feel free to click "USEFUL" below, it's always fun :)</v>
      </c>
    </row>
    <row r="1786">
      <c r="A1786" s="1">
        <v>5.0</v>
      </c>
      <c r="B1786" s="1" t="s">
        <v>1777</v>
      </c>
      <c r="C1786" t="str">
        <f>IFERROR(__xludf.DUMMYFUNCTION("GOOGLETRANSLATE(B1786, ""fr"", ""en"")"),"Top product according to the description Nickel")</f>
        <v>Top product according to the description Nickel</v>
      </c>
    </row>
    <row r="1787">
      <c r="A1787" s="1">
        <v>5.0</v>
      </c>
      <c r="B1787" s="1" t="s">
        <v>1778</v>
      </c>
      <c r="C1787" t="str">
        <f>IFERROR(__xludf.DUMMYFUNCTION("GOOGLETRANSLATE(B1787, ""fr"", ""en"")"),"Ok Essentials of summer. Product according to the description.")</f>
        <v>Ok Essentials of summer. Product according to the description.</v>
      </c>
    </row>
    <row r="1788">
      <c r="A1788" s="1">
        <v>5.0</v>
      </c>
      <c r="B1788" s="1" t="s">
        <v>1779</v>
      </c>
      <c r="C1788" t="str">
        <f>IFERROR(__xludf.DUMMYFUNCTION("GOOGLETRANSLATE(B1788, ""fr"", ""en"")"),"Beautiful nice dress to wear Confirms the description and image. Satisfied with this dress.")</f>
        <v>Beautiful nice dress to wear Confirms the description and image. Satisfied with this dress.</v>
      </c>
    </row>
    <row r="1789">
      <c r="A1789" s="1">
        <v>5.0</v>
      </c>
      <c r="B1789" s="1" t="s">
        <v>1780</v>
      </c>
      <c r="C1789" t="str">
        <f>IFERROR(__xludf.DUMMYFUNCTION("GOOGLETRANSLATE(B1789, ""fr"", ""en"")"),"Received very good quality headphones at the time moment to open the package and read the instructions pairing is done without problems or wrong note. These are not the first Bluetooth headset that I buy but surprisingly they are very good. Very good perf"&amp;"ormance, impeccable and at times I even forget that I have headphones. For me it's all good at all levels especially the value for money is great")</f>
        <v>Received very good quality headphones at the time moment to open the package and read the instructions pairing is done without problems or wrong note. These are not the first Bluetooth headset that I buy but surprisingly they are very good. Very good performance, impeccable and at times I even forget that I have headphones. For me it's all good at all levels especially the value for money is great</v>
      </c>
    </row>
    <row r="1790">
      <c r="A1790" s="1">
        <v>5.0</v>
      </c>
      <c r="B1790" s="1" t="s">
        <v>1781</v>
      </c>
      <c r="C1790" t="str">
        <f>IFERROR(__xludf.DUMMYFUNCTION("GOOGLETRANSLATE(B1790, ""fr"", ""en"")"),"very well watch perfectly fulfills its function, we must think of the exposure to light regularly to avoid losing capacity battery. colon regrettable in my view: the tides are not geotagged ... but at that price it is normal and the screws on the case are"&amp;" false ... great shows otherwise !!!")</f>
        <v>very well watch perfectly fulfills its function, we must think of the exposure to light regularly to avoid losing capacity battery. colon regrettable in my view: the tides are not geotagged ... but at that price it is normal and the screws on the case are false ... great shows otherwise !!!</v>
      </c>
    </row>
    <row r="1791">
      <c r="A1791" s="1">
        <v>5.0</v>
      </c>
      <c r="B1791" s="1" t="s">
        <v>1782</v>
      </c>
      <c r="C1791" t="str">
        <f>IFERROR(__xludf.DUMMYFUNCTION("GOOGLETRANSLATE(B1791, ""fr"", ""en"")"),"Grigri Pretty cheap at all. A great investment for some nice gifts. These bracelets are suitable for girls than for boys.")</f>
        <v>Grigri Pretty cheap at all. A great investment for some nice gifts. These bracelets are suitable for girls than for boys.</v>
      </c>
    </row>
    <row r="1792">
      <c r="A1792" s="1">
        <v>5.0</v>
      </c>
      <c r="B1792" s="1" t="s">
        <v>1783</v>
      </c>
      <c r="C1792" t="str">
        <f>IFERROR(__xludf.DUMMYFUNCTION("GOOGLETRANSLATE(B1792, ""fr"", ""en"")"),"Well in my shoes lacoste The basketball are very comfortable, I have the sensitive foot so I'm very difficult. Size although it is too big or tight.")</f>
        <v>Well in my shoes lacoste The basketball are very comfortable, I have the sensitive foot so I'm very difficult. Size although it is too big or tight.</v>
      </c>
    </row>
    <row r="1793">
      <c r="A1793" s="1">
        <v>5.0</v>
      </c>
      <c r="B1793" s="1" t="s">
        <v>1784</v>
      </c>
      <c r="C1793" t="str">
        <f>IFERROR(__xludf.DUMMYFUNCTION("GOOGLETRANSLATE(B1793, ""fr"", ""en"")"),"Excellent slippers I am in my second pair. The first pair is still in very good condition after more than two years of daily use. Very good: thick sole and does not sag with time, warm but not too much. Sober and aesthetic.")</f>
        <v>Excellent slippers I am in my second pair. The first pair is still in very good condition after more than two years of daily use. Very good: thick sole and does not sag with time, warm but not too much. Sober and aesthetic.</v>
      </c>
    </row>
    <row r="1794">
      <c r="A1794" s="1">
        <v>2.0</v>
      </c>
      <c r="B1794" s="1" t="s">
        <v>1785</v>
      </c>
      <c r="C1794" t="str">
        <f>IFERROR(__xludf.DUMMYFUNCTION("GOOGLETRANSLATE(B1794, ""fr"", ""en"")"),"No new The product received is clearly not new. A few scratches here and there and traces of glue. The angle 90 ° is loose and is not entirely granted. The product does not look solid and not worth the price, it should be worth more than 15 €. Not sure it"&amp;" takes one year. 3 stars less because of the inconvenience.")</f>
        <v>No new The product received is clearly not new. A few scratches here and there and traces of glue. The angle 90 ° is loose and is not entirely granted. The product does not look solid and not worth the price, it should be worth more than 15 €. Not sure it takes one year. 3 stars less because of the inconvenience.</v>
      </c>
    </row>
    <row r="1795">
      <c r="A1795" s="1">
        <v>1.0</v>
      </c>
      <c r="B1795" s="1" t="s">
        <v>1786</v>
      </c>
      <c r="C1795" t="str">
        <f>IFERROR(__xludf.DUMMYFUNCTION("GOOGLETRANSLATE(B1795, ""fr"", ""en"")"),"Very low-end &lt;div id = ""video-block-R34BFRAM3DUB3P"" class = ""a-section-spacing-small in-spacing-top mini video-block""&gt; &lt;/ div&gt; &lt;input type = ""hidden"" name = """" value = ""https://images-eu.ssl-images-amazon.com/images/I/81UgpzLHMwS.mp4"" class = """&amp;"video-url""&gt; &lt;input type = ""hidden"" name = """" value = ""https://images-eu.ssl-images-amazon.com/images/I/81YgWAjLt5S.png"" class = ""video-slate-img-url""&gt; &amp; nbsp; beautiful far, far from being beautiful! 😂 From Made in China, low-end. The days are p"&amp;"ictograms ... Disappointed with my purchase!")</f>
        <v>Very low-end &lt;div id = "video-block-R34BFRAM3DUB3P" class = "a-section-spacing-small in-spacing-top mini video-block"&gt; &lt;/ div&gt; &lt;input type = "hidden" name = "" value = "https://images-eu.ssl-images-amazon.com/images/I/81UgpzLHMwS.mp4" class = "video-url"&gt; &lt;input type = "hidden" name = "" value = "https://images-eu.ssl-images-amazon.com/images/I/81YgWAjLt5S.png" class = "video-slate-img-url"&gt; &amp; nbsp; beautiful far, far from being beautiful! 😂 From Made in China, low-end. The days are pictograms ... Disappointed with my purchase!</v>
      </c>
    </row>
    <row r="1796">
      <c r="A1796" s="1">
        <v>1.0</v>
      </c>
      <c r="B1796" s="1" t="s">
        <v>1787</v>
      </c>
      <c r="C1796" t="str">
        <f>IFERROR(__xludf.DUMMYFUNCTION("GOOGLETRANSLATE(B1796, ""fr"", ""en"")"),"Too little too small")</f>
        <v>Too little too small</v>
      </c>
    </row>
    <row r="1797">
      <c r="A1797" s="1">
        <v>3.0</v>
      </c>
      <c r="B1797" s="1" t="s">
        <v>1788</v>
      </c>
      <c r="C1797" t="str">
        <f>IFERROR(__xludf.DUMMYFUNCTION("GOOGLETRANSLATE(B1797, ""fr"", ""en"")"),"good value for money just a little problem with the elastic over the instep, short and impossible to retract the foot. I cut!!!")</f>
        <v>good value for money just a little problem with the elastic over the instep, short and impossible to retract the foot. I cut!!!</v>
      </c>
    </row>
    <row r="1798">
      <c r="A1798" s="1">
        <v>4.0</v>
      </c>
      <c r="B1798" s="1" t="s">
        <v>1789</v>
      </c>
      <c r="C1798" t="str">
        <f>IFERROR(__xludf.DUMMYFUNCTION("GOOGLETRANSLATE(B1798, ""fr"", ""en"")"),"For larger babies when her baby grows (or whatever you call) must be adapted material. The bottle of milk is important and necessary (when it does not give suckled) baby, it brings him both water and also the calcium and protein of milk and a whole bunch "&amp;"of stuff writing on boxes milk. But baby also loves to drink in quantity; ie more than 210 ml and also it likes to keep his bottle. This bottle is ideal to be held between the little baby hands. Indeed, it is thinned on the sides allowing a good grip. But"&amp;" if given the bottle, I find it not too convenient. The pacifier has several speeds: 3. It is flexible and ""remember"" the breast, which should allow for a better grip. For cleaning, I do it by hand, much easier (since I have not machine) and I use a bru"&amp;"sh. Bottles sold by 2. They are practical and baby is happy.")</f>
        <v>For larger babies when her baby grows (or whatever you call) must be adapted material. The bottle of milk is important and necessary (when it does not give suckled) baby, it brings him both water and also the calcium and protein of milk and a whole bunch of stuff writing on boxes milk. But baby also loves to drink in quantity; ie more than 210 ml and also it likes to keep his bottle. This bottle is ideal to be held between the little baby hands. Indeed, it is thinned on the sides allowing a good grip. But if given the bottle, I find it not too convenient. The pacifier has several speeds: 3. It is flexible and "remember" the breast, which should allow for a better grip. For cleaning, I do it by hand, much easier (since I have not machine) and I use a brush. Bottles sold by 2. They are practical and baby is happy.</v>
      </c>
    </row>
    <row r="1799">
      <c r="A1799" s="1">
        <v>4.0</v>
      </c>
      <c r="B1799" s="1" t="s">
        <v>1790</v>
      </c>
      <c r="C1799" t="str">
        <f>IFERROR(__xludf.DUMMYFUNCTION("GOOGLETRANSLATE(B1799, ""fr"", ""en"")"),"While the headphones are correct, the sound is very good, with a small knob to adjust the volume on the wire, which is very convenient. I recommend")</f>
        <v>While the headphones are correct, the sound is very good, with a small knob to adjust the volume on the wire, which is very convenient. I recommend</v>
      </c>
    </row>
    <row r="1800">
      <c r="A1800" s="1">
        <v>4.0</v>
      </c>
      <c r="B1800" s="1" t="s">
        <v>1791</v>
      </c>
      <c r="C1800" t="str">
        <f>IFERROR(__xludf.DUMMYFUNCTION("GOOGLETRANSLATE(B1800, ""fr"", ""en"")"),"Efficient and enjoyable Gift with my wife for Christmas and has delighted the whole family! The ""points"" of massage are quite thick and do not hurt. Heating is light but enough to be felt and enjoyable. The product is convenient and efficient, perfect! "&amp;"only downside: the control buttons on the left shoulder strap are misplaced. The location was close to the ""handles"" left or right would have been perfect. Nevertheless, I recommend.")</f>
        <v>Efficient and enjoyable Gift with my wife for Christmas and has delighted the whole family! The "points" of massage are quite thick and do not hurt. Heating is light but enough to be felt and enjoyable. The product is convenient and efficient, perfect! only downside: the control buttons on the left shoulder strap are misplaced. The location was close to the "handles" left or right would have been perfect. Nevertheless, I recommend.</v>
      </c>
    </row>
    <row r="1801">
      <c r="A1801" s="1">
        <v>4.0</v>
      </c>
      <c r="B1801" s="1" t="s">
        <v>1792</v>
      </c>
      <c r="C1801" t="str">
        <f>IFERROR(__xludf.DUMMYFUNCTION("GOOGLETRANSLATE(B1801, ""fr"", ""en"")"),"visibility Table ideal student for diagrams")</f>
        <v>visibility Table ideal student for diagrams</v>
      </c>
    </row>
    <row r="1802">
      <c r="A1802" s="1">
        <v>5.0</v>
      </c>
      <c r="B1802" s="1" t="s">
        <v>1793</v>
      </c>
      <c r="C1802" t="str">
        <f>IFERROR(__xludf.DUMMYFUNCTION("GOOGLETRANSLATE(B1802, ""fr"", ""en"")"),"Super midriff top, I wanted a good maintains it's done! I can only advise seen the ca price worth it!")</f>
        <v>Super midriff top, I wanted a good maintains it's done! I can only advise seen the ca price worth it!</v>
      </c>
    </row>
    <row r="1803">
      <c r="A1803" s="1">
        <v>5.0</v>
      </c>
      <c r="B1803" s="1" t="s">
        <v>1794</v>
      </c>
      <c r="C1803" t="str">
        <f>IFERROR(__xludf.DUMMYFUNCTION("GOOGLETRANSLATE(B1803, ""fr"", ""en"")"),"Okay bag and congratulations for the quality")</f>
        <v>Okay bag and congratulations for the quality</v>
      </c>
    </row>
    <row r="1804">
      <c r="A1804" s="1">
        <v>5.0</v>
      </c>
      <c r="B1804" s="1" t="s">
        <v>1795</v>
      </c>
      <c r="C1804" t="str">
        <f>IFERROR(__xludf.DUMMYFUNCTION("GOOGLETRANSLATE(B1804, ""fr"", ""en"")"),"the top technical and aesthetic boots. carry in water, mud and snow without problem. the feet are warm, the interior coat is soft: slippers true even at -12o")</f>
        <v>the top technical and aesthetic boots. carry in water, mud and snow without problem. the feet are warm, the interior coat is soft: slippers true even at -12o</v>
      </c>
    </row>
    <row r="1805">
      <c r="A1805" s="1">
        <v>5.0</v>
      </c>
      <c r="B1805" s="1" t="s">
        <v>1796</v>
      </c>
      <c r="C1805" t="str">
        <f>IFERROR(__xludf.DUMMYFUNCTION("GOOGLETRANSLATE(B1805, ""fr"", ""en"")"),"perfect value for money I useful for karaoke, they are awesome")</f>
        <v>perfect value for money I useful for karaoke, they are awesome</v>
      </c>
    </row>
    <row r="1806">
      <c r="A1806" s="1">
        <v>5.0</v>
      </c>
      <c r="B1806" s="1" t="s">
        <v>1797</v>
      </c>
      <c r="C1806" t="str">
        <f>IFERROR(__xludf.DUMMYFUNCTION("GOOGLETRANSLATE(B1806, ""fr"", ""en"")"),"Very convenient ! No more glue tube that buckling photos! The cutting of the square is simple and poses more! Ideal for making home photo albums! I recommend !")</f>
        <v>Very convenient ! No more glue tube that buckling photos! The cutting of the square is simple and poses more! Ideal for making home photo albums! I recommend !</v>
      </c>
    </row>
    <row r="1807">
      <c r="A1807" s="1">
        <v>5.0</v>
      </c>
      <c r="B1807" s="1" t="s">
        <v>1798</v>
      </c>
      <c r="C1807" t="str">
        <f>IFERROR(__xludf.DUMMYFUNCTION("GOOGLETRANSLATE(B1807, ""fr"", ""en"")"),"Audio 3.5mm to 6.35mm Double Cable 2M Article corresponding to the indications given by the site and apparently very good. Not fault it")</f>
        <v>Audio 3.5mm to 6.35mm Double Cable 2M Article corresponding to the indications given by the site and apparently very good. Not fault it</v>
      </c>
    </row>
    <row r="1808">
      <c r="A1808" s="1">
        <v>5.0</v>
      </c>
      <c r="B1808" s="1" t="s">
        <v>1799</v>
      </c>
      <c r="C1808" t="str">
        <f>IFERROR(__xludf.DUMMYFUNCTION("GOOGLETRANSLATE(B1808, ""fr"", ""en"")"),"Absolute class Okay, it's expensive but frankly, this teapot is worth its price. And the objects of this brand are made to last, the investment is worth it. On the box it says ""objects culinary art"" and not a figment of the imagination. This teapot is b"&amp;"eautiful, as much as can be a teapot, but mostly it is functional, comprehensive and practical. Modes preset according to the type of tea or infusion, personal programmable modes, kettle function and even iced tea function, yes. The function keeps the hot"&amp;" reactivated may be useful in the case of larger preparations. Note that the teapot accepts loose tea as well as that bag. You can set the camera almost to the desired degree and the duration of infusion. All the controls are intuitive and can do without "&amp;"the manual to use the unit immediately unpacked. A small aluminum cup is provided to place the receptacle tea, it is in the detail but it nevertheless remains very significant. This whole satin aluminum and tempered glass is the best effect and can stay o"&amp;"n the kitchen worktop without shame. Anti slip pads line the bottom of the teapot and the cup for added safety. Treaty BPA for plastic parts and given to 20% energy efficient. We also appreciate the ability to wind the power cord in the base for efficient"&amp;" storage. Really a very beautiful object, efficient and easy to use that you can only recommend.")</f>
        <v>Absolute class Okay, it's expensive but frankly, this teapot is worth its price. And the objects of this brand are made to last, the investment is worth it. On the box it says "objects culinary art" and not a figment of the imagination. This teapot is beautiful, as much as can be a teapot, but mostly it is functional, comprehensive and practical. Modes preset according to the type of tea or infusion, personal programmable modes, kettle function and even iced tea function, yes. The function keeps the hot reactivated may be useful in the case of larger preparations. Note that the teapot accepts loose tea as well as that bag. You can set the camera almost to the desired degree and the duration of infusion. All the controls are intuitive and can do without the manual to use the unit immediately unpacked. A small aluminum cup is provided to place the receptacle tea, it is in the detail but it nevertheless remains very significant. This whole satin aluminum and tempered glass is the best effect and can stay on the kitchen worktop without shame. Anti slip pads line the bottom of the teapot and the cup for added safety. Treaty BPA for plastic parts and given to 20% energy efficient. We also appreciate the ability to wind the power cord in the base for efficient storage. Really a very beautiful object, efficient and easy to use that you can only recommend.</v>
      </c>
    </row>
    <row r="1809">
      <c r="A1809" s="1">
        <v>5.0</v>
      </c>
      <c r="B1809" s="1" t="s">
        <v>1800</v>
      </c>
      <c r="C1809" t="str">
        <f>IFERROR(__xludf.DUMMYFUNCTION("GOOGLETRANSLATE(B1809, ""fr"", ""en"")"),"Great product I took these felt for my daughter and the love he did not dry and is easily removed when necessary baby clean mine flat slightly rounded does not move even if high quality is the apui")</f>
        <v>Great product I took these felt for my daughter and the love he did not dry and is easily removed when necessary baby clean mine flat slightly rounded does not move even if high quality is the apui</v>
      </c>
    </row>
    <row r="1810">
      <c r="A1810" s="1">
        <v>5.0</v>
      </c>
      <c r="B1810" s="1" t="s">
        <v>1801</v>
      </c>
      <c r="C1810" t="str">
        <f>IFERROR(__xludf.DUMMYFUNCTION("GOOGLETRANSLATE(B1810, ""fr"", ""en"")"),"slipper these slippers are perfect super thick for my dad who is at home, these slippers its Thick, hot and fit properly has the size")</f>
        <v>slipper these slippers are perfect super thick for my dad who is at home, these slippers its Thick, hot and fit properly has the size</v>
      </c>
    </row>
    <row r="1811">
      <c r="A1811" s="1">
        <v>5.0</v>
      </c>
      <c r="B1811" s="1" t="s">
        <v>1802</v>
      </c>
      <c r="C1811" t="str">
        <f>IFERROR(__xludf.DUMMYFUNCTION("GOOGLETRANSLATE(B1811, ""fr"", ""en"")"),"Super Price / no complaints. Super quality. I bought 2. The neck is very well suited for introduction into the bottle without putting everywhere. The fact that the doses are cumulative, it's perfect, you can put in the diaper bag or a dose or several dose"&amp;"s, it's very convenient. I recommend.")</f>
        <v>Super Price / no complaints. Super quality. I bought 2. The neck is very well suited for introduction into the bottle without putting everywhere. The fact that the doses are cumulative, it's perfect, you can put in the diaper bag or a dose or several doses, it's very convenient. I recommend.</v>
      </c>
    </row>
    <row r="1812">
      <c r="A1812" s="1">
        <v>5.0</v>
      </c>
      <c r="B1812" s="1" t="s">
        <v>1803</v>
      </c>
      <c r="C1812" t="str">
        <f>IFERROR(__xludf.DUMMYFUNCTION("GOOGLETRANSLATE(B1812, ""fr"", ""en"")"),"Very good essential oil! Great value and I use it like that! Cutaneous abscess, acne, eczema, gingivitis, herpes, fungal infections, skin parasites, insect bites, toned physique (cardiac fatigue) Respiratory Tract (diffusion, inhalation): Sore throat, bro"&amp;"nchitis, flu, ear infections, nasopharyngitis, colds, sinusitis , cough internal use (oral, rectal, vaginal): bronchitis, cystitis, flu, intestinal parasites, nasopharyngitis")</f>
        <v>Very good essential oil! Great value and I use it like that! Cutaneous abscess, acne, eczema, gingivitis, herpes, fungal infections, skin parasites, insect bites, toned physique (cardiac fatigue) Respiratory Tract (diffusion, inhalation): Sore throat, bronchitis, flu, ear infections, nasopharyngitis, colds, sinusitis , cough internal use (oral, rectal, vaginal): bronchitis, cystitis, flu, intestinal parasites, nasopharyngitis</v>
      </c>
    </row>
    <row r="1813">
      <c r="A1813" s="1">
        <v>5.0</v>
      </c>
      <c r="B1813" s="1" t="s">
        <v>1804</v>
      </c>
      <c r="C1813" t="str">
        <f>IFERROR(__xludf.DUMMYFUNCTION("GOOGLETRANSLATE(B1813, ""fr"", ""en"")"),"Excellent quality / price Used in recent months is consistent with the description. So they are still in the machine / dryer.")</f>
        <v>Excellent quality / price Used in recent months is consistent with the description. So they are still in the machine / dryer.</v>
      </c>
    </row>
    <row r="1814">
      <c r="A1814" s="1">
        <v>5.0</v>
      </c>
      <c r="B1814" s="1" t="s">
        <v>1261</v>
      </c>
      <c r="C1814" t="str">
        <f>IFERROR(__xludf.DUMMYFUNCTION("GOOGLETRANSLATE(B1814, ""fr"", ""en"")"),"good good")</f>
        <v>good good</v>
      </c>
    </row>
    <row r="1815">
      <c r="A1815" s="1">
        <v>5.0</v>
      </c>
      <c r="B1815" s="1" t="s">
        <v>1805</v>
      </c>
      <c r="C1815" t="str">
        <f>IFERROR(__xludf.DUMMYFUNCTION("GOOGLETRANSLATE(B1815, ""fr"", ""en"")"),"watch the great shows !! sees with the linen cloths all dressed !! thank you amazon")</f>
        <v>watch the great shows !! sees with the linen cloths all dressed !! thank you amazon</v>
      </c>
    </row>
    <row r="1816">
      <c r="A1816" s="1">
        <v>5.0</v>
      </c>
      <c r="B1816" s="1" t="s">
        <v>1806</v>
      </c>
      <c r="C1816" t="str">
        <f>IFERROR(__xludf.DUMMYFUNCTION("GOOGLETRANSLATE(B1816, ""fr"", ""en"")"),"Good Apple product but the price is still very high as all products produced apple Good sound very good but still expensive for headphones")</f>
        <v>Good Apple product but the price is still very high as all products produced apple Good sound very good but still expensive for headphones</v>
      </c>
    </row>
    <row r="1817">
      <c r="A1817" s="1">
        <v>5.0</v>
      </c>
      <c r="B1817" s="1" t="s">
        <v>1807</v>
      </c>
      <c r="C1817" t="str">
        <f>IFERROR(__xludf.DUMMYFUNCTION("GOOGLETRANSLATE(B1817, ""fr"", ""en"")"),"Perfect Very nice helmet and very good sound")</f>
        <v>Perfect Very nice helmet and very good sound</v>
      </c>
    </row>
    <row r="1818">
      <c r="A1818" s="1">
        <v>2.0</v>
      </c>
      <c r="B1818" s="1" t="s">
        <v>1808</v>
      </c>
      <c r="C1818" t="str">
        <f>IFERROR(__xludf.DUMMYFUNCTION("GOOGLETRANSLATE(B1818, ""fr"", ""en"")"),"In a box broken Gift received birthday the day of my 8 year old son in a box broken 😠au top 👎pfff much say I'm just a little disgusted but my son was still very happy !!!")</f>
        <v>In a box broken Gift received birthday the day of my 8 year old son in a box broken 😠au top 👎pfff much say I'm just a little disgusted but my son was still very happy !!!</v>
      </c>
    </row>
    <row r="1819">
      <c r="A1819" s="1">
        <v>1.0</v>
      </c>
      <c r="B1819" s="1" t="s">
        <v>1809</v>
      </c>
      <c r="C1819" t="str">
        <f>IFERROR(__xludf.DUMMYFUNCTION("GOOGLETRANSLATE(B1819, ""fr"", ""en"")"),"Disconnecting the right atrium proper audio quality, good battery life, big super convenient battery ... but the right atrium is micro-breaks every 10 seconds. Tested with Samsung Galaxy S7 and LG G4 tested with a Dell XPS 15 Same behavior. It's unusable "&amp;"state. We can accept a lower audio quality apple product but not the behavior. I tried everything, hard reset, atrium change, I still have the same behavior. Problem of my copy? I do not know. I decided to return after one day. I do not understand the goo"&amp;"d ratings from buyers.")</f>
        <v>Disconnecting the right atrium proper audio quality, good battery life, big super convenient battery ... but the right atrium is micro-breaks every 10 seconds. Tested with Samsung Galaxy S7 and LG G4 tested with a Dell XPS 15 Same behavior. It's unusable state. We can accept a lower audio quality apple product but not the behavior. I tried everything, hard reset, atrium change, I still have the same behavior. Problem of my copy? I do not know. I decided to return after one day. I do not understand the good ratings from buyers.</v>
      </c>
    </row>
    <row r="1820">
      <c r="A1820" s="1">
        <v>3.0</v>
      </c>
      <c r="B1820" s="1" t="s">
        <v>1810</v>
      </c>
      <c r="C1820" t="str">
        <f>IFERROR(__xludf.DUMMYFUNCTION("GOOGLETRANSLATE(B1820, ""fr"", ""en"")"),"takes longer to reach boiling puts heating time")</f>
        <v>takes longer to reach boiling puts heating time</v>
      </c>
    </row>
    <row r="1821">
      <c r="A1821" s="1">
        <v>3.0</v>
      </c>
      <c r="B1821" s="1" t="s">
        <v>1811</v>
      </c>
      <c r="C1821" t="str">
        <f>IFERROR(__xludf.DUMMYFUNCTION("GOOGLETRANSLATE(B1821, ""fr"", ""en"")"),"Very big watch. Very good to me consistent with the description. Commissioned 13 M 22 M 40 received by the same date (for € 4.99 more) very well returned after 8 days: analog display delays in relation to digital (1H overnight)")</f>
        <v>Very big watch. Very good to me consistent with the description. Commissioned 13 M 22 M 40 received by the same date (for € 4.99 more) very well returned after 8 days: analog display delays in relation to digital (1H overnight)</v>
      </c>
    </row>
    <row r="1822">
      <c r="A1822" s="1">
        <v>4.0</v>
      </c>
      <c r="B1822" s="1" t="s">
        <v>1812</v>
      </c>
      <c r="C1822" t="str">
        <f>IFERROR(__xludf.DUMMYFUNCTION("GOOGLETRANSLATE(B1822, ""fr"", ""en"")"),"Okay Super nothing to say for the price very nice")</f>
        <v>Okay Super nothing to say for the price very nice</v>
      </c>
    </row>
    <row r="1823">
      <c r="A1823" s="1">
        <v>4.0</v>
      </c>
      <c r="B1823" s="1" t="s">
        <v>1813</v>
      </c>
      <c r="C1823" t="str">
        <f>IFERROR(__xludf.DUMMYFUNCTION("GOOGLETRANSLATE(B1823, ""fr"", ""en"")"),"this is good socks. I put on the 44 and it goes. as well that greenhouse up and it stays in place.")</f>
        <v>this is good socks. I put on the 44 and it goes. as well that greenhouse up and it stays in place.</v>
      </c>
    </row>
    <row r="1824">
      <c r="A1824" s="1">
        <v>4.0</v>
      </c>
      <c r="B1824" s="1" t="s">
        <v>1814</v>
      </c>
      <c r="C1824" t="str">
        <f>IFERROR(__xludf.DUMMYFUNCTION("GOOGLETRANSLATE(B1824, ""fr"", ""en"")"),"Not bad I put 4 stars because I did not have the bandage that should be included in the lot! If the article is correct. The barbs are plastic, when I touched at first, I thought it would be too painful to bear, but in the end I was quite pleasantly surpri"&amp;"sed. Tested 10 minutes is not bad for a start! I'm happy")</f>
        <v>Not bad I put 4 stars because I did not have the bandage that should be included in the lot! If the article is correct. The barbs are plastic, when I touched at first, I thought it would be too painful to bear, but in the end I was quite pleasantly surprised. Tested 10 minutes is not bad for a start! I'm happy</v>
      </c>
    </row>
    <row r="1825">
      <c r="A1825" s="1">
        <v>4.0</v>
      </c>
      <c r="B1825" s="1" t="s">
        <v>1815</v>
      </c>
      <c r="C1825" t="str">
        <f>IFERROR(__xludf.DUMMYFUNCTION("GOOGLETRANSLATE(B1825, ""fr"", ""en"")"),"Default well observed: Info difficult to settle temperature paint on the outline that starts easily Stripe possible to the glass if forced contact with an especially sharp object.")</f>
        <v>Default well observed: Info difficult to settle temperature paint on the outline that starts easily Stripe possible to the glass if forced contact with an especially sharp object.</v>
      </c>
    </row>
    <row r="1826">
      <c r="A1826" s="1">
        <v>4.0</v>
      </c>
      <c r="B1826" s="1" t="s">
        <v>1816</v>
      </c>
      <c r="C1826" t="str">
        <f>IFERROR(__xludf.DUMMYFUNCTION("GOOGLETRANSLATE(B1826, ""fr"", ""en"")"),"Ideal for listening in the heat In this period of heat wave, it is inconceivable for me to listen to music in public transport with my usual helmet. He really needed a headphone / earphone preventing perspiration. I did not know the existence of bone cond"&amp;"uction headphones until a colleague talks to me and makes me try 10 seconds his Aftershokz Air Trek. I was attracted by its design, light weight and very especially its open side. I decided to take this type of helmet. I finally opted for Aftershokz Aerop"&amp;"ex. After several searches on the net, it turns out that this is the best bone conduction headset to date. The packaging is really great, everything we see immediately that this is a finished product and neat. I was a little confused by the presence of tw"&amp;"o cables of the case with magnetic closure but especially earplugs. The helmet is itself very light and sound reproduction quality (treble, medium) has almost nothing to envy to conventional helmets except bass. They are desperately short of punch despite"&amp;" the improvements made in relation to Air Trek. The return of voice is also really great. So, certainly, it will not be worth a good helmet. Some sound details disappear completely. The first 5 minutes of listening were quite unpleasant because the listen"&amp;"er puts pressure on the temples and the fact that the transducers vibrate tremendously. Even having removed, I still felt this discomfort. But the next day I was able to string together a listening almost non-stop in transport and at the office. I only re"&amp;"gret the absence of well punchy bass and especially the use of connectivity owner (probably due to IP67 / IP68). In short, the technology is promising. And if you are looking for a way to listen to music during a heat wave so go for it.")</f>
        <v>Ideal for listening in the heat In this period of heat wave, it is inconceivable for me to listen to music in public transport with my usual helmet. He really needed a headphone / earphone preventing perspiration. I did not know the existence of bone conduction headphones until a colleague talks to me and makes me try 10 seconds his Aftershokz Air Trek. I was attracted by its design, light weight and very especially its open side. I decided to take this type of helmet. I finally opted for Aftershokz Aeropex. After several searches on the net, it turns out that this is the best bone conduction headset to date. The packaging is really great, everything we see immediately that this is a finished product and neat. I was a little confused by the presence of two cables of the case with magnetic closure but especially earplugs. The helmet is itself very light and sound reproduction quality (treble, medium) has almost nothing to envy to conventional helmets except bass. They are desperately short of punch despite the improvements made in relation to Air Trek. The return of voice is also really great. So, certainly, it will not be worth a good helmet. Some sound details disappear completely. The first 5 minutes of listening were quite unpleasant because the listener puts pressure on the temples and the fact that the transducers vibrate tremendously. Even having removed, I still felt this discomfort. But the next day I was able to string together a listening almost non-stop in transport and at the office. I only regret the absence of well punchy bass and especially the use of connectivity owner (probably due to IP67 / IP68). In short, the technology is promising. And if you are looking for a way to listen to music during a heat wave so go for it.</v>
      </c>
    </row>
    <row r="1827">
      <c r="A1827" s="1">
        <v>5.0</v>
      </c>
      <c r="B1827" s="1" t="s">
        <v>1817</v>
      </c>
      <c r="C1827" t="str">
        <f>IFERROR(__xludf.DUMMYFUNCTION("GOOGLETRANSLATE(B1827, ""fr"", ""en"")"),"It's strange I received earpiece well packaged and in a cute little box and all protected. But after a few days of use, the headset cuts the music starts playing, change song and to top it off, it no longer works. Yesterday I looked and I saw that the wir"&amp;"e is broken from the inside. Maybe this is a manufacturing defect. Still, given the price.")</f>
        <v>It's strange I received earpiece well packaged and in a cute little box and all protected. But after a few days of use, the headset cuts the music starts playing, change song and to top it off, it no longer works. Yesterday I looked and I saw that the wire is broken from the inside. Maybe this is a manufacturing defect. Still, given the price.</v>
      </c>
    </row>
    <row r="1828">
      <c r="A1828" s="1">
        <v>5.0</v>
      </c>
      <c r="B1828" s="1" t="s">
        <v>1818</v>
      </c>
      <c r="C1828" t="str">
        <f>IFERROR(__xludf.DUMMYFUNCTION("GOOGLETRANSLATE(B1828, ""fr"", ""en"")"),"Adidas Super tower just nothing to add.")</f>
        <v>Adidas Super tower just nothing to add.</v>
      </c>
    </row>
    <row r="1829">
      <c r="A1829" s="1">
        <v>5.0</v>
      </c>
      <c r="B1829" s="1" t="s">
        <v>1819</v>
      </c>
      <c r="C1829" t="str">
        <f>IFERROR(__xludf.DUMMYFUNCTION("GOOGLETRANSLATE(B1829, ""fr"", ""en"")"),"satisfied did much pleasure")</f>
        <v>satisfied did much pleasure</v>
      </c>
    </row>
    <row r="1830">
      <c r="A1830" s="1">
        <v>5.0</v>
      </c>
      <c r="B1830" s="1" t="s">
        <v>1820</v>
      </c>
      <c r="C1830" t="str">
        <f>IFERROR(__xludf.DUMMYFUNCTION("GOOGLETRANSLATE(B1830, ""fr"", ""en"")"),"GORGEOUS I daily door is WONDERFUL and comes in a beautiful box The chain is a bit long for my taste so I changed to the tree of life is in the battery creu my neck It shines and is very good I aM vERY HAPPY THANKS")</f>
        <v>GORGEOUS I daily door is WONDERFUL and comes in a beautiful box The chain is a bit long for my taste so I changed to the tree of life is in the battery creu my neck It shines and is very good I aM vERY HAPPY THANKS</v>
      </c>
    </row>
    <row r="1831">
      <c r="A1831" s="1">
        <v>5.0</v>
      </c>
      <c r="B1831" s="1" t="s">
        <v>1821</v>
      </c>
      <c r="C1831" t="str">
        <f>IFERROR(__xludf.DUMMYFUNCTION("GOOGLETRANSLATE(B1831, ""fr"", ""en"")"),"Convenient Very convenient, lots of storage")</f>
        <v>Convenient Very convenient, lots of storage</v>
      </c>
    </row>
    <row r="1832">
      <c r="A1832" s="1">
        <v>5.0</v>
      </c>
      <c r="B1832" s="1" t="s">
        <v>1822</v>
      </c>
      <c r="C1832" t="str">
        <f>IFERROR(__xludf.DUMMYFUNCTION("GOOGLETRANSLATE(B1832, ""fr"", ""en"")"),"Ad complies with Amazon Product Brand - AURIQUE Jogger - Pants - Women What to say it: You never leave this jogging pants designed for you to feel comfortable in any situation. Whether to go to the sport with a tracksuit top, or stay home to pampered, thi"&amp;"s soft and stretchy model offers maximum comfort. Packaging: In a bag The negative: The positive: The material is soft inside applied The pockets are large. Beautiful fabric and pretty cut. Very handy to slip, softness, comfort of the fabric. Cédric")</f>
        <v>Ad complies with Amazon Product Brand - AURIQUE Jogger - Pants - Women What to say it: You never leave this jogging pants designed for you to feel comfortable in any situation. Whether to go to the sport with a tracksuit top, or stay home to pampered, this soft and stretchy model offers maximum comfort. Packaging: In a bag The negative: The positive: The material is soft inside applied The pockets are large. Beautiful fabric and pretty cut. Very handy to slip, softness, comfort of the fabric. Cédric</v>
      </c>
    </row>
    <row r="1833">
      <c r="A1833" s="1">
        <v>5.0</v>
      </c>
      <c r="B1833" s="1" t="s">
        <v>1823</v>
      </c>
      <c r="C1833" t="str">
        <f>IFERROR(__xludf.DUMMYFUNCTION("GOOGLETRANSLATE(B1833, ""fr"", ""en"")"),"boots nothing to say perfect !!!")</f>
        <v>boots nothing to say perfect !!!</v>
      </c>
    </row>
    <row r="1834">
      <c r="A1834" s="1">
        <v>5.0</v>
      </c>
      <c r="B1834" s="1" t="s">
        <v>1824</v>
      </c>
      <c r="C1834" t="str">
        <f>IFERROR(__xludf.DUMMYFUNCTION("GOOGLETRANSLATE(B1834, ""fr"", ""en"")"),"perfect ^ - ^ I bought this watch for my father and it looks so good that he is very happy. Watch consistent with the description and photos. It has a simple shape and elegant and packed in a beautiful box. its black color exudes a dimension of mystery. s"&amp;"he &amp; nbsp; brings rigor by its color. The bracelet made of quality stainless steel, it is durable, practical and adjustable, ideal for everyday use, with smooth surface for comfortable wear. It has a minimalist designated with colored needles and markings"&amp;" in red contrasting with the black dial, which gives the watch a look that is both elegant and seductive. In short, in general, I'm so happy with this watch and I recommend it.")</f>
        <v>perfect ^ - ^ I bought this watch for my father and it looks so good that he is very happy. Watch consistent with the description and photos. It has a simple shape and elegant and packed in a beautiful box. its black color exudes a dimension of mystery. she &amp; nbsp; brings rigor by its color. The bracelet made of quality stainless steel, it is durable, practical and adjustable, ideal for everyday use, with smooth surface for comfortable wear. It has a minimalist designated with colored needles and markings in red contrasting with the black dial, which gives the watch a look that is both elegant and seductive. In short, in general, I'm so happy with this watch and I recommend it.</v>
      </c>
    </row>
    <row r="1835">
      <c r="A1835" s="1">
        <v>5.0</v>
      </c>
      <c r="B1835" s="1" t="s">
        <v>1825</v>
      </c>
      <c r="C1835" t="str">
        <f>IFERROR(__xludf.DUMMYFUNCTION("GOOGLETRANSLATE(B1835, ""fr"", ""en"")"),"perfect a brave, little space on a work surface, very fast, very easy to clean. saving time every morning")</f>
        <v>perfect a brave, little space on a work surface, very fast, very easy to clean. saving time every morning</v>
      </c>
    </row>
    <row r="1836">
      <c r="A1836" s="1">
        <v>5.0</v>
      </c>
      <c r="B1836" s="1" t="s">
        <v>1826</v>
      </c>
      <c r="C1836" t="str">
        <f>IFERROR(__xludf.DUMMYFUNCTION("GOOGLETRANSLATE(B1836, ""fr"", ""en"")"),"Perfect People who like lots of storage, go your way! Small bag perfect for travel as possible to take the essence during a visit without a hitch.")</f>
        <v>Perfect People who like lots of storage, go your way! Small bag perfect for travel as possible to take the essence during a visit without a hitch.</v>
      </c>
    </row>
    <row r="1837">
      <c r="A1837" s="1">
        <v>5.0</v>
      </c>
      <c r="B1837" s="1" t="s">
        <v>1827</v>
      </c>
      <c r="C1837" t="str">
        <f>IFERROR(__xludf.DUMMYFUNCTION("GOOGLETRANSLATE(B1837, ""fr"", ""en"")"),"Men's jacket Good size good quality keeps you warm")</f>
        <v>Men's jacket Good size good quality keeps you warm</v>
      </c>
    </row>
    <row r="1838">
      <c r="A1838" s="1">
        <v>5.0</v>
      </c>
      <c r="B1838" s="1" t="s">
        <v>1828</v>
      </c>
      <c r="C1838" t="str">
        <f>IFERROR(__xludf.DUMMYFUNCTION("GOOGLETRANSLATE(B1838, ""fr"", ""en"")"),"Not great too thick. Works great with a small laminator 30 € purchased here. RAS. Very happy with my purchase.")</f>
        <v>Not great too thick. Works great with a small laminator 30 € purchased here. RAS. Very happy with my purchase.</v>
      </c>
    </row>
    <row r="1839">
      <c r="A1839" s="1">
        <v>5.0</v>
      </c>
      <c r="B1839" s="1" t="s">
        <v>1829</v>
      </c>
      <c r="C1839" t="str">
        <f>IFERROR(__xludf.DUMMYFUNCTION("GOOGLETRANSLATE(B1839, ""fr"", ""en"")"),"Okay Happiness chills guarantees")</f>
        <v>Okay Happiness chills guarantees</v>
      </c>
    </row>
    <row r="1840">
      <c r="A1840" s="1">
        <v>5.0</v>
      </c>
      <c r="B1840" s="1" t="s">
        <v>1830</v>
      </c>
      <c r="C1840" t="str">
        <f>IFERROR(__xludf.DUMMYFUNCTION("GOOGLETRANSLATE(B1840, ""fr"", ""en"")"),"Perfect Milk sellers always write as powdered milk mixture is easy. When the baby howls at his bottle plugged with a lump, it no longer believes. this utensil is essential for quiet nights!")</f>
        <v>Perfect Milk sellers always write as powdered milk mixture is easy. When the baby howls at his bottle plugged with a lump, it no longer believes. this utensil is essential for quiet nights!</v>
      </c>
    </row>
    <row r="1841">
      <c r="A1841" s="1">
        <v>5.0</v>
      </c>
      <c r="B1841" s="1" t="s">
        <v>1831</v>
      </c>
      <c r="C1841" t="str">
        <f>IFERROR(__xludf.DUMMYFUNCTION("GOOGLETRANSLATE(B1841, ""fr"", ""en"")"),"Swatch watch strap silicone strap Very nice and easy to mount on a watch, tools are provided.")</f>
        <v>Swatch watch strap silicone strap Very nice and easy to mount on a watch, tools are provided.</v>
      </c>
    </row>
    <row r="1842">
      <c r="A1842" s="1">
        <v>2.0</v>
      </c>
      <c r="B1842" s="1" t="s">
        <v>1832</v>
      </c>
      <c r="C1842" t="str">
        <f>IFERROR(__xludf.DUMMYFUNCTION("GOOGLETRANSLATE(B1842, ""fr"", ""en"")"),"Disappointed I ordered these beach shoes for my son. She is pretty but carve too small !! The controlled size does not correspond to the usual size of the brand. I returned.")</f>
        <v>Disappointed I ordered these beach shoes for my son. She is pretty but carve too small !! The controlled size does not correspond to the usual size of the brand. I returned.</v>
      </c>
    </row>
    <row r="1843">
      <c r="A1843" s="1">
        <v>1.0</v>
      </c>
      <c r="B1843" s="1" t="s">
        <v>1833</v>
      </c>
      <c r="C1843" t="str">
        <f>IFERROR(__xludf.DUMMYFUNCTION("GOOGLETRANSLATE(B1843, ""fr"", ""en"")"),"disappointing really childish")</f>
        <v>disappointing really childish</v>
      </c>
    </row>
    <row r="1844">
      <c r="A1844" s="1">
        <v>1.0</v>
      </c>
      <c r="B1844" s="1" t="s">
        <v>1834</v>
      </c>
      <c r="C1844" t="str">
        <f>IFERROR(__xludf.DUMMYFUNCTION("GOOGLETRANSLATE(B1844, ""fr"", ""en"")"),"infringement that are not true, I did return immediately")</f>
        <v>infringement that are not true, I did return immediately</v>
      </c>
    </row>
    <row r="1845">
      <c r="A1845" s="1">
        <v>3.0</v>
      </c>
      <c r="B1845" s="1" t="s">
        <v>1835</v>
      </c>
      <c r="C1845" t="str">
        <f>IFERROR(__xludf.DUMMYFUNCTION("GOOGLETRANSLATE(B1845, ""fr"", ""en"")"),"Disappointed 5 small simple books and a cardboard box to fill the void")</f>
        <v>Disappointed 5 small simple books and a cardboard box to fill the void</v>
      </c>
    </row>
    <row r="1846">
      <c r="A1846" s="1">
        <v>3.0</v>
      </c>
      <c r="B1846" s="1" t="s">
        <v>1836</v>
      </c>
      <c r="C1846" t="str">
        <f>IFERROR(__xludf.DUMMYFUNCTION("GOOGLETRANSLATE(B1846, ""fr"", ""en"")"),"Size small I ordered this sweater for Christmas for my boyfriend. He carries one brand between size M L view (it is late but very large). Not to take risks that I commanded her sweater size L, which rather suits him but all the same size a little small fo"&amp;"r a size L. If the sweater is of good quality, this remains basic to have in his cabinet.")</f>
        <v>Size small I ordered this sweater for Christmas for my boyfriend. He carries one brand between size M L view (it is late but very large). Not to take risks that I commanded her sweater size L, which rather suits him but all the same size a little small for a size L. If the sweater is of good quality, this remains basic to have in his cabinet.</v>
      </c>
    </row>
    <row r="1847">
      <c r="A1847" s="1">
        <v>4.0</v>
      </c>
      <c r="B1847" s="1" t="s">
        <v>1837</v>
      </c>
      <c r="C1847" t="str">
        <f>IFERROR(__xludf.DUMMYFUNCTION("GOOGLETRANSLATE(B1847, ""fr"", ""en"")"),"Good Good")</f>
        <v>Good Good</v>
      </c>
    </row>
    <row r="1848">
      <c r="A1848" s="1">
        <v>4.0</v>
      </c>
      <c r="B1848" s="1" t="s">
        <v>1838</v>
      </c>
      <c r="C1848" t="str">
        <f>IFERROR(__xludf.DUMMYFUNCTION("GOOGLETRANSLATE(B1848, ""fr"", ""en"")"),"To eat! For a first experience, it is rather a success. That's shoes are very comfortable to wear, as well outside as inside, at home or on vacation. They are lightweight, easy to put on, comfortable, well hold the feet. hoofs of terrain. The only downsid"&amp;"e, they run small, you have to know before buying, providing a size more. In short, a purchase I do not regret, provided it lasts.")</f>
        <v>To eat! For a first experience, it is rather a success. That's shoes are very comfortable to wear, as well outside as inside, at home or on vacation. They are lightweight, easy to put on, comfortable, well hold the feet. hoofs of terrain. The only downside, they run small, you have to know before buying, providing a size more. In short, a purchase I do not regret, provided it lasts.</v>
      </c>
    </row>
    <row r="1849">
      <c r="A1849" s="1">
        <v>4.0</v>
      </c>
      <c r="B1849" s="1" t="s">
        <v>1839</v>
      </c>
      <c r="C1849" t="str">
        <f>IFERROR(__xludf.DUMMYFUNCTION("GOOGLETRANSLATE(B1849, ""fr"", ""en"")"),"Pretty beautiful and adequate size beads")</f>
        <v>Pretty beautiful and adequate size beads</v>
      </c>
    </row>
    <row r="1850">
      <c r="A1850" s="1">
        <v>4.0</v>
      </c>
      <c r="B1850" s="1" t="s">
        <v>1840</v>
      </c>
      <c r="C1850" t="str">
        <f>IFERROR(__xludf.DUMMYFUNCTION("GOOGLETRANSLATE(B1850, ""fr"", ""en"")"),"A light and sweet Good article")</f>
        <v>A light and sweet Good article</v>
      </c>
    </row>
    <row r="1851">
      <c r="A1851" s="1">
        <v>5.0</v>
      </c>
      <c r="B1851" s="1" t="s">
        <v>1841</v>
      </c>
      <c r="C1851" t="str">
        <f>IFERROR(__xludf.DUMMYFUNCTION("GOOGLETRANSLATE(B1851, ""fr"", ""en"")"),"Satisfied Satisfied with the necklace ... the perfect length ... neither too long nor too short ... screw closure ... I recommend this necklace for our babies.")</f>
        <v>Satisfied Satisfied with the necklace ... the perfect length ... neither too long nor too short ... screw closure ... I recommend this necklace for our babies.</v>
      </c>
    </row>
    <row r="1852">
      <c r="A1852" s="1">
        <v>5.0</v>
      </c>
      <c r="B1852" s="1" t="s">
        <v>1842</v>
      </c>
      <c r="C1852" t="str">
        <f>IFERROR(__xludf.DUMMYFUNCTION("GOOGLETRANSLATE(B1852, ""fr"", ""en"")"),"leather man bag Gorgeous !!! Very nice quality, smells like leather, beautiful colors and perfect seams. I am delighted with this purchase.")</f>
        <v>leather man bag Gorgeous !!! Very nice quality, smells like leather, beautiful colors and perfect seams. I am delighted with this purchase.</v>
      </c>
    </row>
    <row r="1853">
      <c r="A1853" s="1">
        <v>5.0</v>
      </c>
      <c r="B1853" s="1" t="s">
        <v>1843</v>
      </c>
      <c r="C1853" t="str">
        <f>IFERROR(__xludf.DUMMYFUNCTION("GOOGLETRANSLATE(B1853, ""fr"", ""en"")"),"quello che da poco This cercavo say paio identico ad un altro che ho dovuto buttare perched ormai distrutte. Restano semper un valore sicuro.")</f>
        <v>quello che da poco This cercavo say paio identico ad un altro che ho dovuto buttare perched ormai distrutte. Restano semper un valore sicuro.</v>
      </c>
    </row>
    <row r="1854">
      <c r="A1854" s="1">
        <v>5.0</v>
      </c>
      <c r="B1854" s="1" t="s">
        <v>1844</v>
      </c>
      <c r="C1854" t="str">
        <f>IFERROR(__xludf.DUMMYFUNCTION("GOOGLETRANSLATE(B1854, ""fr"", ""en"")"),"Perfect No specific comment")</f>
        <v>Perfect No specific comment</v>
      </c>
    </row>
    <row r="1855">
      <c r="A1855" s="1">
        <v>5.0</v>
      </c>
      <c r="B1855" s="1" t="s">
        <v>1845</v>
      </c>
      <c r="C1855" t="str">
        <f>IFERROR(__xludf.DUMMYFUNCTION("GOOGLETRANSLATE(B1855, ""fr"", ""en"")"),"Perfect ... Perfect for a man rather big, but this shows ""&amp; nbsp; has the mouth &amp; nbsp;"" and works great. Easy to set up.")</f>
        <v>Perfect ... Perfect for a man rather big, but this shows "&amp; nbsp; has the mouth &amp; nbsp;" and works great. Easy to set up.</v>
      </c>
    </row>
    <row r="1856">
      <c r="A1856" s="1">
        <v>5.0</v>
      </c>
      <c r="B1856" s="1" t="s">
        <v>1846</v>
      </c>
      <c r="C1856" t="str">
        <f>IFERROR(__xludf.DUMMYFUNCTION("GOOGLETRANSLATE(B1856, ""fr"", ""en"")"),"ideal essential when you have animals, safe for sensitive skins")</f>
        <v>ideal essential when you have animals, safe for sensitive skins</v>
      </c>
    </row>
    <row r="1857">
      <c r="A1857" s="1">
        <v>5.0</v>
      </c>
      <c r="B1857" s="1" t="s">
        <v>1847</v>
      </c>
      <c r="C1857" t="str">
        <f>IFERROR(__xludf.DUMMYFUNCTION("GOOGLETRANSLATE(B1857, ""fr"", ""en"")"),"light and comfortable comfortable")</f>
        <v>light and comfortable comfortable</v>
      </c>
    </row>
    <row r="1858">
      <c r="A1858" s="1">
        <v>5.0</v>
      </c>
      <c r="B1858" s="1" t="s">
        <v>1848</v>
      </c>
      <c r="C1858" t="str">
        <f>IFERROR(__xludf.DUMMYFUNCTION("GOOGLETRANSLATE(B1858, ""fr"", ""en"")"),"Excellent leather bag It's real leather. Many storage. Finishes and quality are excellent quality prenium to buy without hesitation. Two modes handy uses: to back and normal satchel bag")</f>
        <v>Excellent leather bag It's real leather. Many storage. Finishes and quality are excellent quality prenium to buy without hesitation. Two modes handy uses: to back and normal satchel bag</v>
      </c>
    </row>
    <row r="1859">
      <c r="A1859" s="1">
        <v>5.0</v>
      </c>
      <c r="B1859" s="1" t="s">
        <v>1849</v>
      </c>
      <c r="C1859" t="str">
        <f>IFERROR(__xludf.DUMMYFUNCTION("GOOGLETRANSLATE(B1859, ""fr"", ""en"")"),"Finesse product Very nice article Very feminine and well cut")</f>
        <v>Finesse product Very nice article Very feminine and well cut</v>
      </c>
    </row>
    <row r="1860">
      <c r="A1860" s="1">
        <v>5.0</v>
      </c>
      <c r="B1860" s="1" t="s">
        <v>1850</v>
      </c>
      <c r="C1860" t="str">
        <f>IFERROR(__xludf.DUMMYFUNCTION("GOOGLETRANSLATE(B1860, ""fr"", ""en"")"),"Steriliser, bottle warmer ... top Great gift for the birth of a little bit, the device has a superb finish, many functions, it is not too large. Everything is well explained easy to use. I recommend")</f>
        <v>Steriliser, bottle warmer ... top Great gift for the birth of a little bit, the device has a superb finish, many functions, it is not too large. Everything is well explained easy to use. I recommend</v>
      </c>
    </row>
    <row r="1861">
      <c r="A1861" s="1">
        <v>5.0</v>
      </c>
      <c r="B1861" s="1" t="s">
        <v>1851</v>
      </c>
      <c r="C1861" t="str">
        <f>IFERROR(__xludf.DUMMYFUNCTION("GOOGLETRANSLATE(B1861, ""fr"", ""en"")"),"Good brand socks Sun Very bine branded socks Sun")</f>
        <v>Good brand socks Sun Very bine branded socks Sun</v>
      </c>
    </row>
    <row r="1862">
      <c r="A1862" s="1">
        <v>5.0</v>
      </c>
      <c r="B1862" s="1" t="s">
        <v>1852</v>
      </c>
      <c r="C1862" t="str">
        <f>IFERROR(__xludf.DUMMYFUNCTION("GOOGLETRANSLATE(B1862, ""fr"", ""en"")"),"Perfect ! Bought for studies and to comply with regulations against programmable calculators.")</f>
        <v>Perfect ! Bought for studies and to comply with regulations against programmable calculators.</v>
      </c>
    </row>
    <row r="1863">
      <c r="A1863" s="1">
        <v>5.0</v>
      </c>
      <c r="B1863" s="1" t="s">
        <v>1853</v>
      </c>
      <c r="C1863" t="str">
        <f>IFERROR(__xludf.DUMMYFUNCTION("GOOGLETRANSLATE(B1863, ""fr"", ""en"")"),"Beautiful lamp I had already bought from nature and discovery, not at all the same price as on the Amazon website, I'm just glad she is of exceptional quality")</f>
        <v>Beautiful lamp I had already bought from nature and discovery, not at all the same price as on the Amazon website, I'm just glad she is of exceptional quality</v>
      </c>
    </row>
    <row r="1864">
      <c r="A1864" s="1">
        <v>5.0</v>
      </c>
      <c r="B1864" s="1" t="s">
        <v>1854</v>
      </c>
      <c r="C1864" t="str">
        <f>IFERROR(__xludf.DUMMYFUNCTION("GOOGLETRANSLATE(B1864, ""fr"", ""en"")"),"Comment This is a good product, I like. It has good quality; so I recommend it.")</f>
        <v>Comment This is a good product, I like. It has good quality; so I recommend it.</v>
      </c>
    </row>
    <row r="1865">
      <c r="A1865" s="1">
        <v>5.0</v>
      </c>
      <c r="B1865" s="1" t="s">
        <v>1855</v>
      </c>
      <c r="C1865" t="str">
        <f>IFERROR(__xludf.DUMMYFUNCTION("GOOGLETRANSLATE(B1865, ""fr"", ""en"")"),"mini travel kettle I am very happy with my purchase. it is perfect for a speed cup of tea at all hours of the day and takes up little space.")</f>
        <v>mini travel kettle I am very happy with my purchase. it is perfect for a speed cup of tea at all hours of the day and takes up little space.</v>
      </c>
    </row>
    <row r="1866">
      <c r="A1866" s="1">
        <v>2.0</v>
      </c>
      <c r="B1866" s="1" t="s">
        <v>1856</v>
      </c>
      <c r="C1866" t="str">
        <f>IFERROR(__xludf.DUMMYFUNCTION("GOOGLETRANSLATE(B1866, ""fr"", ""en"")"),"Barely received and already it does not work I received the dymo date all happy and wanting to try it turns out that this one does not. I am literally the explanations and nothing happens. I am disappointed that I was so happy to have it!")</f>
        <v>Barely received and already it does not work I received the dymo date all happy and wanting to try it turns out that this one does not. I am literally the explanations and nothing happens. I am disappointed that I was so happy to have it!</v>
      </c>
    </row>
    <row r="1867">
      <c r="A1867" s="1">
        <v>1.0</v>
      </c>
      <c r="B1867" s="1" t="s">
        <v>1857</v>
      </c>
      <c r="C1867" t="str">
        <f>IFERROR(__xludf.DUMMYFUNCTION("GOOGLETRANSLATE(B1867, ""fr"", ""en"")"),"Puma size small so take 2 sizes dessu happy to have received quickly but disappointed with product quality, workmanship is clearly questionable and a yellow spot at interrieur shoe .. Nevertheless pleased with the reception but for his price manufacturers"&amp;" could at least make an effort on the BMW logo")</f>
        <v>Puma size small so take 2 sizes dessu happy to have received quickly but disappointed with product quality, workmanship is clearly questionable and a yellow spot at interrieur shoe .. Nevertheless pleased with the reception but for his price manufacturers could at least make an effort on the BMW logo</v>
      </c>
    </row>
    <row r="1868">
      <c r="A1868" s="1">
        <v>1.0</v>
      </c>
      <c r="B1868" s="1" t="s">
        <v>1858</v>
      </c>
      <c r="C1868" t="str">
        <f>IFERROR(__xludf.DUMMYFUNCTION("GOOGLETRANSLATE(B1868, ""fr"", ""en"")"),"Poor / not match the description I received product without cabinet in a simple plastic bag. No use No warranty manual No metal rod for fixing the strap to the dial The set does not match the description of the product and the expected quality.")</f>
        <v>Poor / not match the description I received product without cabinet in a simple plastic bag. No use No warranty manual No metal rod for fixing the strap to the dial The set does not match the description of the product and the expected quality.</v>
      </c>
    </row>
    <row r="1869">
      <c r="A1869" s="1">
        <v>3.0</v>
      </c>
      <c r="B1869" s="1" t="s">
        <v>1859</v>
      </c>
      <c r="C1869" t="str">
        <f>IFERROR(__xludf.DUMMYFUNCTION("GOOGLETRANSLATE(B1869, ""fr"", ""en"")"),"A great design but not very practical, they are very beautiful design but not super convenient. They are wider than normal. Our 9 month old has no trouble hold up well in hand, however, it's hard to drink her milk. Indeed, it does not leave the milk flowi"&amp;"ng.")</f>
        <v>A great design but not very practical, they are very beautiful design but not super convenient. They are wider than normal. Our 9 month old has no trouble hold up well in hand, however, it's hard to drink her milk. Indeed, it does not leave the milk flowing.</v>
      </c>
    </row>
    <row r="1870">
      <c r="A1870" s="1">
        <v>3.0</v>
      </c>
      <c r="B1870" s="1" t="s">
        <v>1860</v>
      </c>
      <c r="C1870" t="str">
        <f>IFERROR(__xludf.DUMMYFUNCTION("GOOGLETRANSLATE(B1870, ""fr"", ""en"")"),"good quality but size problem a bra that could have been perfect, very good support. Lined inside, adjustable straps X with cushioning system back in my size ... except that at least one size smaller, the 85A = 80A and again! Chinese sizes ???? Pity!!!")</f>
        <v>good quality but size problem a bra that could have been perfect, very good support. Lined inside, adjustable straps X with cushioning system back in my size ... except that at least one size smaller, the 85A = 80A and again! Chinese sizes ???? Pity!!!</v>
      </c>
    </row>
    <row r="1871">
      <c r="A1871" s="1">
        <v>4.0</v>
      </c>
      <c r="B1871" s="1" t="s">
        <v>1861</v>
      </c>
      <c r="C1871" t="str">
        <f>IFERROR(__xludf.DUMMYFUNCTION("GOOGLETRANSLATE(B1871, ""fr"", ""en"")"),"nikel chrome while I had tried in the store, and he had not my size, I found them on Amazon, delivered in 72 hours and 35 € expensive month at the store!")</f>
        <v>nikel chrome while I had tried in the store, and he had not my size, I found them on Amazon, delivered in 72 hours and 35 € expensive month at the store!</v>
      </c>
    </row>
    <row r="1872">
      <c r="A1872" s="1">
        <v>4.0</v>
      </c>
      <c r="B1872" s="1" t="s">
        <v>1862</v>
      </c>
      <c r="C1872" t="str">
        <f>IFERROR(__xludf.DUMMYFUNCTION("GOOGLETRANSLATE(B1872, ""fr"", ""en"")"),"Very good sound Very good helmet, only downside there is no microphone to talk on the phone. The quality to price ratio is excellent")</f>
        <v>Very good sound Very good helmet, only downside there is no microphone to talk on the phone. The quality to price ratio is excellent</v>
      </c>
    </row>
    <row r="1873">
      <c r="A1873" s="1">
        <v>4.0</v>
      </c>
      <c r="B1873" s="1" t="s">
        <v>1863</v>
      </c>
      <c r="C1873" t="str">
        <f>IFERROR(__xludf.DUMMYFUNCTION("GOOGLETRANSLATE(B1873, ""fr"", ""en"")"),"very useful very useful rules especially for graduates in geography sketch. Very easy to use. I take off one star because they gave the same symbols around (square, rectangle) while in the same dimensions they might suggest others. Feel free to leave a po"&amp;"sitive opinion if my review has helped you. Thank you.")</f>
        <v>very useful very useful rules especially for graduates in geography sketch. Very easy to use. I take off one star because they gave the same symbols around (square, rectangle) while in the same dimensions they might suggest others. Feel free to leave a positive opinion if my review has helped you. Thank you.</v>
      </c>
    </row>
    <row r="1874">
      <c r="A1874" s="1">
        <v>4.0</v>
      </c>
      <c r="B1874" s="1" t="s">
        <v>1864</v>
      </c>
      <c r="C1874" t="str">
        <f>IFERROR(__xludf.DUMMYFUNCTION("GOOGLETRANSLATE(B1874, ""fr"", ""en"")"),"Excellent Very Good Pleasant and comfortable product")</f>
        <v>Excellent Very Good Pleasant and comfortable product</v>
      </c>
    </row>
    <row r="1875">
      <c r="A1875" s="1">
        <v>5.0</v>
      </c>
      <c r="B1875" s="1" t="s">
        <v>1865</v>
      </c>
      <c r="C1875" t="str">
        <f>IFERROR(__xludf.DUMMYFUNCTION("GOOGLETRANSLATE(B1875, ""fr"", ""en"")"),"folding massage table right width, leg stainless. Just the hole for the head at a seam and this is inconvenient. accessories are well below the table")</f>
        <v>folding massage table right width, leg stainless. Just the hole for the head at a seam and this is inconvenient. accessories are well below the table</v>
      </c>
    </row>
    <row r="1876">
      <c r="A1876" s="1">
        <v>5.0</v>
      </c>
      <c r="B1876" s="1" t="s">
        <v>1866</v>
      </c>
      <c r="C1876" t="str">
        <f>IFERROR(__xludf.DUMMYFUNCTION("GOOGLETRANSLATE(B1876, ""fr"", ""en"")"),"Good cheap headphones Product support received on time, well packaged, no surprises. The helmet holder complies with the ad, used for Sennheiser PC 360 headset G4ME and perfectly fulfilled its job. Very easy to install, it is also very light. At this pric"&amp;"e, the 5 stars are fully deserved. I recomme the product and seller.")</f>
        <v>Good cheap headphones Product support received on time, well packaged, no surprises. The helmet holder complies with the ad, used for Sennheiser PC 360 headset G4ME and perfectly fulfilled its job. Very easy to install, it is also very light. At this price, the 5 stars are fully deserved. I recomme the product and seller.</v>
      </c>
    </row>
    <row r="1877">
      <c r="A1877" s="1">
        <v>5.0</v>
      </c>
      <c r="B1877" s="1" t="s">
        <v>1867</v>
      </c>
      <c r="C1877" t="str">
        <f>IFERROR(__xludf.DUMMYFUNCTION("GOOGLETRANSLATE(B1877, ""fr"", ""en"")"),"Great bags! Good product Hello everyone, really great! Do not hesitate. If you have any questions, consider me a message.")</f>
        <v>Great bags! Good product Hello everyone, really great! Do not hesitate. If you have any questions, consider me a message.</v>
      </c>
    </row>
    <row r="1878">
      <c r="A1878" s="1">
        <v>5.0</v>
      </c>
      <c r="B1878" s="1" t="s">
        <v>1868</v>
      </c>
      <c r="C1878" t="str">
        <f>IFERROR(__xludf.DUMMYFUNCTION("GOOGLETRANSLATE(B1878, ""fr"", ""en"")"),"Useful practice")</f>
        <v>Useful practice</v>
      </c>
    </row>
    <row r="1879">
      <c r="A1879" s="1">
        <v>5.0</v>
      </c>
      <c r="B1879" s="1" t="s">
        <v>1869</v>
      </c>
      <c r="C1879" t="str">
        <f>IFERROR(__xludf.DUMMYFUNCTION("GOOGLETRANSLATE(B1879, ""fr"", ""en"")"),"top was very well done job! it was invaded by moths at home in less than 3 days nothing :-)")</f>
        <v>top was very well done job! it was invaded by moths at home in less than 3 days nothing :-)</v>
      </c>
    </row>
    <row r="1880">
      <c r="A1880" s="1">
        <v>5.0</v>
      </c>
      <c r="B1880" s="1" t="s">
        <v>1870</v>
      </c>
      <c r="C1880" t="str">
        <f>IFERROR(__xludf.DUMMYFUNCTION("GOOGLETRANSLATE(B1880, ""fr"", ""en"")"),"Pretty and practical Very convenient to pay. Good grip of the handle. Pretty retro design and not too bulky saw the countenance.")</f>
        <v>Pretty and practical Very convenient to pay. Good grip of the handle. Pretty retro design and not too bulky saw the countenance.</v>
      </c>
    </row>
    <row r="1881">
      <c r="A1881" s="1">
        <v>5.0</v>
      </c>
      <c r="B1881" s="1" t="s">
        <v>1871</v>
      </c>
      <c r="C1881" t="str">
        <f>IFERROR(__xludf.DUMMYFUNCTION("GOOGLETRANSLATE(B1881, ""fr"", ""en"")"),"pretty, top it're just beautiful")</f>
        <v>pretty, top it're just beautiful</v>
      </c>
    </row>
    <row r="1882">
      <c r="A1882" s="1">
        <v>5.0</v>
      </c>
      <c r="B1882" s="1" t="s">
        <v>1872</v>
      </c>
      <c r="C1882" t="str">
        <f>IFERROR(__xludf.DUMMYFUNCTION("GOOGLETRANSLATE(B1882, ""fr"", ""en"")"),"Autonomy / quality / her Top Super use, once loaded the headset lasts a long time or even days. His Nikel, nothing to say. I'm not disappointed that after MPOW brand headphones ordered the same brand and also super quality. I recommande🎧✅👌")</f>
        <v>Autonomy / quality / her Top Super use, once loaded the headset lasts a long time or even days. His Nikel, nothing to say. I'm not disappointed that after MPOW brand headphones ordered the same brand and also super quality. I recommande🎧✅👌</v>
      </c>
    </row>
    <row r="1883">
      <c r="A1883" s="1">
        <v>5.0</v>
      </c>
      <c r="B1883" s="1" t="s">
        <v>1873</v>
      </c>
      <c r="C1883" t="str">
        <f>IFERROR(__xludf.DUMMYFUNCTION("GOOGLETRANSLATE(B1883, ""fr"", ""en"")"),"Heater temperature quickly and keeps the kettle This gives me satisfaction: good grip, small does not take place. easy to use, rapid temperature rise, it pays well, not particularly loud, elegant design. Easily select the desired temperature for water. Ma"&amp;"intains the temperature once reached. This mode ""Maintain temperature"" is very effective I am satisfied.")</f>
        <v>Heater temperature quickly and keeps the kettle This gives me satisfaction: good grip, small does not take place. easy to use, rapid temperature rise, it pays well, not particularly loud, elegant design. Easily select the desired temperature for water. Maintains the temperature once reached. This mode "Maintain temperature" is very effective I am satisfied.</v>
      </c>
    </row>
    <row r="1884">
      <c r="A1884" s="1">
        <v>5.0</v>
      </c>
      <c r="B1884" s="1" t="s">
        <v>1874</v>
      </c>
      <c r="C1884" t="str">
        <f>IFERROR(__xludf.DUMMYFUNCTION("GOOGLETRANSLATE(B1884, ""fr"", ""en"")"),"Great Great for cleaning bottles and the endpiece nipple is nickel, bottles and clean")</f>
        <v>Great Great for cleaning bottles and the endpiece nipple is nickel, bottles and clean</v>
      </c>
    </row>
    <row r="1885">
      <c r="A1885" s="1">
        <v>5.0</v>
      </c>
      <c r="B1885" s="1" t="s">
        <v>1875</v>
      </c>
      <c r="C1885" t="str">
        <f>IFERROR(__xludf.DUMMYFUNCTION("GOOGLETRANSLATE(B1885, ""fr"", ""en"")"),"Very good value for money product for a great price with fast delivery Pleased with this purchase")</f>
        <v>Very good value for money product for a great price with fast delivery Pleased with this purchase</v>
      </c>
    </row>
    <row r="1886">
      <c r="A1886" s="1">
        <v>5.0</v>
      </c>
      <c r="B1886" s="1" t="s">
        <v>1876</v>
      </c>
      <c r="C1886" t="str">
        <f>IFERROR(__xludf.DUMMYFUNCTION("GOOGLETRANSLATE(B1886, ""fr"", ""en"")"),"Very good quality paper towel roll, I recommend")</f>
        <v>Very good quality paper towel roll, I recommend</v>
      </c>
    </row>
    <row r="1887">
      <c r="A1887" s="1">
        <v>5.0</v>
      </c>
      <c r="B1887" s="1" t="s">
        <v>1877</v>
      </c>
      <c r="C1887" t="str">
        <f>IFERROR(__xludf.DUMMYFUNCTION("GOOGLETRANSLATE(B1887, ""fr"", ""en"")"),"Do not leak and quickly heats! The bottle does not leak if it complies assembly recommended: for transportation, purple cover must be screwed SUB bottle (photo 2). The container then covers the bottle (photo 3), even screwed it relies not on the spout of "&amp;"the bottle: so there is no leakage during transport. There is a table on the container which indicates the time to reach 37 ° C depending on the amount of water in the bottle and its temperature (ambient or out of the refrigerator). So I filled the bottle"&amp;" with boiling water, I assemble as stated above and I go for a walk. At the time the bottle I unscrewed the container and the lid, I put my bottle filled with 210 ml of water at room temperature in the container. I pour hot water bottle in the container u"&amp;"p to the mark ""Max"", and I screwed the lid to keep warm (photo 1). After 2 min 30 s I leave the bottle container, it is at 37 ° C. I'm using the same home, and baby patient for the same duration that is at home or on the go, eliminating the frustration "&amp;"of tears.")</f>
        <v>Do not leak and quickly heats! The bottle does not leak if it complies assembly recommended: for transportation, purple cover must be screwed SUB bottle (photo 2). The container then covers the bottle (photo 3), even screwed it relies not on the spout of the bottle: so there is no leakage during transport. There is a table on the container which indicates the time to reach 37 ° C depending on the amount of water in the bottle and its temperature (ambient or out of the refrigerator). So I filled the bottle with boiling water, I assemble as stated above and I go for a walk. At the time the bottle I unscrewed the container and the lid, I put my bottle filled with 210 ml of water at room temperature in the container. I pour hot water bottle in the container up to the mark "Max", and I screwed the lid to keep warm (photo 1). After 2 min 30 s I leave the bottle container, it is at 37 ° C. I'm using the same home, and baby patient for the same duration that is at home or on the go, eliminating the frustration of tears.</v>
      </c>
    </row>
    <row r="1888">
      <c r="A1888" s="1">
        <v>5.0</v>
      </c>
      <c r="B1888" s="1" t="s">
        <v>1878</v>
      </c>
      <c r="C1888" t="str">
        <f>IFERROR(__xludf.DUMMYFUNCTION("GOOGLETRANSLATE(B1888, ""fr"", ""en"")"),"Beau Beau sweatshirt hoodie, good quality, good size, great color choices. I recommend this article.")</f>
        <v>Beau Beau sweatshirt hoodie, good quality, good size, great color choices. I recommend this article.</v>
      </c>
    </row>
    <row r="1889">
      <c r="A1889" s="1">
        <v>5.0</v>
      </c>
      <c r="B1889" s="1" t="s">
        <v>1879</v>
      </c>
      <c r="C1889" t="str">
        <f>IFERROR(__xludf.DUMMYFUNCTION("GOOGLETRANSLATE(B1889, ""fr"", ""en"")"),"Very good product Product identical to photos, very fast delivery. Very good buy, I recommend.")</f>
        <v>Very good product Product identical to photos, very fast delivery. Very good buy, I recommend.</v>
      </c>
    </row>
    <row r="1890">
      <c r="A1890" s="1">
        <v>2.0</v>
      </c>
      <c r="B1890" s="1" t="s">
        <v>1880</v>
      </c>
      <c r="C1890" t="str">
        <f>IFERROR(__xludf.DUMMYFUNCTION("GOOGLETRANSLATE(B1890, ""fr"", ""en"")"),"declining quality back two weeks trekking. Insoles much less efficient than my old pattern: Too thin and zero adhesion on surfaces (stone) humides.Également, I have never had wet feet with previous ... then yes. I'm disappointed with my purchase. The race"&amp;" to the weight at a price!")</f>
        <v>declining quality back two weeks trekking. Insoles much less efficient than my old pattern: Too thin and zero adhesion on surfaces (stone) humides.Également, I have never had wet feet with previous ... then yes. I'm disappointed with my purchase. The race to the weight at a price!</v>
      </c>
    </row>
    <row r="1891">
      <c r="A1891" s="1">
        <v>1.0</v>
      </c>
      <c r="B1891" s="1" t="s">
        <v>1881</v>
      </c>
      <c r="C1891" t="str">
        <f>IFERROR(__xludf.DUMMYFUNCTION("GOOGLETRANSLATE(B1891, ""fr"", ""en"")"),"Stay away order ever received Certainly loops cheap Not even taken steps to complaint but should be avoided heavily")</f>
        <v>Stay away order ever received Certainly loops cheap Not even taken steps to complaint but should be avoided heavily</v>
      </c>
    </row>
    <row r="1892">
      <c r="A1892" s="1">
        <v>1.0</v>
      </c>
      <c r="B1892" s="1" t="s">
        <v>1882</v>
      </c>
      <c r="C1892" t="str">
        <f>IFERROR(__xludf.DUMMYFUNCTION("GOOGLETRANSLATE(B1892, ""fr"", ""en"")"),"Quality mediocre Very disappointed with the quality of pairs of socks. N They have not dress. My son bought for 35-38, they go to my friend 43-46")</f>
        <v>Quality mediocre Very disappointed with the quality of pairs of socks. N They have not dress. My son bought for 35-38, they go to my friend 43-46</v>
      </c>
    </row>
    <row r="1893">
      <c r="A1893" s="1">
        <v>3.0</v>
      </c>
      <c r="B1893" s="1" t="s">
        <v>1883</v>
      </c>
      <c r="C1893" t="str">
        <f>IFERROR(__xludf.DUMMYFUNCTION("GOOGLETRANSLATE(B1893, ""fr"", ""en"")"),"Good product but ... Large bottles of other brands (remond for example) do not fit into the sterilizer. The base rust quickly. Fortunately sterilization is fast.")</f>
        <v>Good product but ... Large bottles of other brands (remond for example) do not fit into the sterilizer. The base rust quickly. Fortunately sterilization is fast.</v>
      </c>
    </row>
    <row r="1894">
      <c r="A1894" s="1">
        <v>4.0</v>
      </c>
      <c r="B1894" s="1" t="s">
        <v>1884</v>
      </c>
      <c r="C1894" t="str">
        <f>IFERROR(__xludf.DUMMYFUNCTION("GOOGLETRANSLATE(B1894, ""fr"", ""en"")"),"Compare this choice I had a helmet of the same brand bought it 2 years ago, but he found himself crushed between two suitcases in a bag .. So I bought the new model of the brand. From a sound quality point of view, I am a bit puzzled. He frankly lack bass"&amp;", and when switches the mode ""noise reduction"", the sound is amplified (we find ourselves in a comfort bubble), but the bass disappear .. Certainly we can compensate by changing the settings on the smartphone, but if I happen to find the right setting f"&amp;"or music, it does not match the next musical ... well eventually we made it. I compared with a Bose 350 €, and given the price difference, I'm not disappointed .I absolujment even feel that the S7, at that price - 100 € with a 25 € is present. Regarding a"&amp;"utonomy, it's perfect. Paris-San Francisco, 12 flight hours without any problem, Bluetooth. This is ideal for the plane, because the Noise Reduction mode eliminates REALLY engine noise, but it is possible to hear the hostess to ask if you want ""Chicken /"&amp;" Rice"" or ""Beef / Carrots"" .. . I also tested the integrated microphone for handsfree calls ... it is ... no need cable. I recommend.")</f>
        <v>Compare this choice I had a helmet of the same brand bought it 2 years ago, but he found himself crushed between two suitcases in a bag .. So I bought the new model of the brand. From a sound quality point of view, I am a bit puzzled. He frankly lack bass, and when switches the mode "noise reduction", the sound is amplified (we find ourselves in a comfort bubble), but the bass disappear .. Certainly we can compensate by changing the settings on the smartphone, but if I happen to find the right setting for music, it does not match the next musical ... well eventually we made it. I compared with a Bose 350 €, and given the price difference, I'm not disappointed .I absolujment even feel that the S7, at that price - 100 € with a 25 € is present. Regarding autonomy, it's perfect. Paris-San Francisco, 12 flight hours without any problem, Bluetooth. This is ideal for the plane, because the Noise Reduction mode eliminates REALLY engine noise, but it is possible to hear the hostess to ask if you want "Chicken / Rice" or "Beef / Carrots" .. . I also tested the integrated microphone for handsfree calls ... it is ... no need cable. I recommend.</v>
      </c>
    </row>
    <row r="1895">
      <c r="A1895" s="1">
        <v>4.0</v>
      </c>
      <c r="B1895" s="1" t="s">
        <v>1885</v>
      </c>
      <c r="C1895" t="str">
        <f>IFERROR(__xludf.DUMMYFUNCTION("GOOGLETRANSLATE(B1895, ""fr"", ""en"")"),"One good product defect, it stops by itself after a few seconds. We must act quickly for off weighing system for handling the balance off. Otherwise very satisfactory and precise.")</f>
        <v>One good product defect, it stops by itself after a few seconds. We must act quickly for off weighing system for handling the balance off. Otherwise very satisfactory and precise.</v>
      </c>
    </row>
    <row r="1896">
      <c r="A1896" s="1">
        <v>4.0</v>
      </c>
      <c r="B1896" s="1" t="s">
        <v>1886</v>
      </c>
      <c r="C1896" t="str">
        <f>IFERROR(__xludf.DUMMYFUNCTION("GOOGLETRANSLATE(B1896, ""fr"", ""en"")"),"Product line with my expectations. The watch is easy to use and is very convenient to use. The beeper is however a little weak and it will light sleepers to wake up with the alarm. It only remains to test the seal.")</f>
        <v>Product line with my expectations. The watch is easy to use and is very convenient to use. The beeper is however a little weak and it will light sleepers to wake up with the alarm. It only remains to test the seal.</v>
      </c>
    </row>
    <row r="1897">
      <c r="A1897" s="1">
        <v>4.0</v>
      </c>
      <c r="B1897" s="1" t="s">
        <v>1887</v>
      </c>
      <c r="C1897" t="str">
        <f>IFERROR(__xludf.DUMMYFUNCTION("GOOGLETRANSLATE(B1897, ""fr"", ""en"")"),"To the DJ! Great gift for one or a teenager. Great gift for those who like to experiment in music and toy want to DJ at a party. For those who share the apartment or house, maybe it will be a little more difficult to bear. Installs via a USB port on the l"&amp;"aptop and there, the music sounds. It's time auditory experiments. There are all the necessary functions for a DJ. For the holidays, it's a nice tool.")</f>
        <v>To the DJ! Great gift for one or a teenager. Great gift for those who like to experiment in music and toy want to DJ at a party. For those who share the apartment or house, maybe it will be a little more difficult to bear. Installs via a USB port on the laptop and there, the music sounds. It's time auditory experiments. There are all the necessary functions for a DJ. For the holidays, it's a nice tool.</v>
      </c>
    </row>
    <row r="1898">
      <c r="A1898" s="1">
        <v>5.0</v>
      </c>
      <c r="B1898" s="1" t="s">
        <v>1888</v>
      </c>
      <c r="C1898" t="str">
        <f>IFERROR(__xludf.DUMMYFUNCTION("GOOGLETRANSLATE(B1898, ""fr"", ""en"")"),"Perfect Perfect size")</f>
        <v>Perfect Perfect size</v>
      </c>
    </row>
    <row r="1899">
      <c r="A1899" s="1">
        <v>5.0</v>
      </c>
      <c r="B1899" s="1" t="s">
        <v>1889</v>
      </c>
      <c r="C1899" t="str">
        <f>IFERROR(__xludf.DUMMYFUNCTION("GOOGLETRANSLATE(B1899, ""fr"", ""en"")"),"Although I recommend")</f>
        <v>Although I recommend</v>
      </c>
    </row>
    <row r="1900">
      <c r="A1900" s="1">
        <v>5.0</v>
      </c>
      <c r="B1900" s="1" t="s">
        <v>1890</v>
      </c>
      <c r="C1900" t="str">
        <f>IFERROR(__xludf.DUMMYFUNCTION("GOOGLETRANSLATE(B1900, ""fr"", ""en"")"),"Size a little big Very good shoe sole with reliefs which hugs the hollow of the feet, waist a little big so take out your size 1/2 see below.")</f>
        <v>Size a little big Very good shoe sole with reliefs which hugs the hollow of the feet, waist a little big so take out your size 1/2 see below.</v>
      </c>
    </row>
    <row r="1901">
      <c r="A1901" s="1">
        <v>5.0</v>
      </c>
      <c r="B1901" s="1" t="s">
        <v>1891</v>
      </c>
      <c r="C1901" t="str">
        <f>IFERROR(__xludf.DUMMYFUNCTION("GOOGLETRANSLATE(B1901, ""fr"", ""en"")"),"Slippers comfortable and pleasant to wear and good size.")</f>
        <v>Slippers comfortable and pleasant to wear and good size.</v>
      </c>
    </row>
    <row r="1902">
      <c r="A1902" s="1">
        <v>5.0</v>
      </c>
      <c r="B1902" s="1" t="s">
        <v>1892</v>
      </c>
      <c r="C1902" t="str">
        <f>IFERROR(__xludf.DUMMYFUNCTION("GOOGLETRANSLATE(B1902, ""fr"", ""en"")"),"Fast delivery Perfect")</f>
        <v>Fast delivery Perfect</v>
      </c>
    </row>
    <row r="1903">
      <c r="A1903" s="1">
        <v>5.0</v>
      </c>
      <c r="B1903" s="1" t="s">
        <v>1893</v>
      </c>
      <c r="C1903" t="str">
        <f>IFERROR(__xludf.DUMMYFUNCTION("GOOGLETRANSLATE(B1903, ""fr"", ""en"")"),"GENIALES !!! They are really lovely and very good quality! She really make their effect ""little aquarium"". By buying I wondered if it was really water with a small plastic fish but it's hard resin. I received them very quickly too! For the price I recom"&amp;"mend !! (If you comment more, click on ""useful"" Thank you :))")</f>
        <v>GENIALES !!! They are really lovely and very good quality! She really make their effect "little aquarium". By buying I wondered if it was really water with a small plastic fish but it's hard resin. I received them very quickly too! For the price I recommend !! (If you comment more, click on "useful" Thank you :))</v>
      </c>
    </row>
    <row r="1904">
      <c r="A1904" s="1">
        <v>5.0</v>
      </c>
      <c r="B1904" s="1" t="s">
        <v>1894</v>
      </c>
      <c r="C1904" t="str">
        <f>IFERROR(__xludf.DUMMYFUNCTION("GOOGLETRANSLATE(B1904, ""fr"", ""en"")"),"Hard to beat ! We greatly appreciate this range because the felts do not dry out, the mine is resistant to pressure and falls, the colors are bright, and especially ink easily share with possibly soapy water (skin tissue ...) It are several forms of felt "&amp;"and mines. Here the 2 packs of 18 felt the ship medium mines and relatively fine pens. For preschool children, prefer the thicker felt that their little hands can grab them and especially keep them more easily. In late kindergarten or early elementary (th"&amp;"is will also be true for more!) These felts perfectly meet the exigeances and are therefore quite recommendable without limitation.")</f>
        <v>Hard to beat ! We greatly appreciate this range because the felts do not dry out, the mine is resistant to pressure and falls, the colors are bright, and especially ink easily share with possibly soapy water (skin tissue ...) It are several forms of felt and mines. Here the 2 packs of 18 felt the ship medium mines and relatively fine pens. For preschool children, prefer the thicker felt that their little hands can grab them and especially keep them more easily. In late kindergarten or early elementary (this will also be true for more!) These felts perfectly meet the exigeances and are therefore quite recommendable without limitation.</v>
      </c>
    </row>
    <row r="1905">
      <c r="A1905" s="1">
        <v>5.0</v>
      </c>
      <c r="B1905" s="1" t="s">
        <v>1895</v>
      </c>
      <c r="C1905" t="str">
        <f>IFERROR(__xludf.DUMMYFUNCTION("GOOGLETRANSLATE(B1905, ""fr"", ""en"")"),"bought 2 pack because I know it's good I had already purchased ... good good quality pens and strong enough for even writing me I find it very good and well received 10 pieces of bags; I am satisfied and I will advice")</f>
        <v>bought 2 pack because I know it's good I had already purchased ... good good quality pens and strong enough for even writing me I find it very good and well received 10 pieces of bags; I am satisfied and I will advice</v>
      </c>
    </row>
    <row r="1906">
      <c r="A1906" s="1">
        <v>5.0</v>
      </c>
      <c r="B1906" s="1" t="s">
        <v>1896</v>
      </c>
      <c r="C1906" t="str">
        <f>IFERROR(__xludf.DUMMYFUNCTION("GOOGLETRANSLATE(B1906, ""fr"", ""en"")"),"Muscle Boom I am very pleased to boom very fast delivery")</f>
        <v>Muscle Boom I am very pleased to boom very fast delivery</v>
      </c>
    </row>
    <row r="1907">
      <c r="A1907" s="1">
        <v>5.0</v>
      </c>
      <c r="B1907" s="1" t="s">
        <v>1897</v>
      </c>
      <c r="C1907" t="str">
        <f>IFERROR(__xludf.DUMMYFUNCTION("GOOGLETRANSLATE(B1907, ""fr"", ""en"")"),"Dinosaur Box Set I bought to give for Christmas for my nephew fan of Dinosaur, I do not know what it actually contains, but the cabinet and lovely to outside.")</f>
        <v>Dinosaur Box Set I bought to give for Christmas for my nephew fan of Dinosaur, I do not know what it actually contains, but the cabinet and lovely to outside.</v>
      </c>
    </row>
    <row r="1908">
      <c r="A1908" s="1">
        <v>5.0</v>
      </c>
      <c r="B1908" s="1" t="s">
        <v>1898</v>
      </c>
      <c r="C1908" t="str">
        <f>IFERROR(__xludf.DUMMYFUNCTION("GOOGLETRANSLATE(B1908, ""fr"", ""en"")"),"Super great practice. Hygienic. Can be separated, compared to other models.")</f>
        <v>Super great practice. Hygienic. Can be separated, compared to other models.</v>
      </c>
    </row>
    <row r="1909">
      <c r="A1909" s="1">
        <v>5.0</v>
      </c>
      <c r="B1909" s="1" t="s">
        <v>1899</v>
      </c>
      <c r="C1909" t="str">
        <f>IFERROR(__xludf.DUMMYFUNCTION("GOOGLETRANSLATE(B1909, ""fr"", ""en"")"),"A first for me! This is the first time I buy converse! I am 30 years old. Well I'm super satisfied! This crayon ""jeans"" goes with everything! Fortunately for against I went into a store, try a pair for me that puts the 39, I had to order ........ 38 !!!"&amp;"!!! I had a little trouble the first two days but the painting is done quickly to my feet. I am already planning to take me brown rising for next fall ;-)")</f>
        <v>A first for me! This is the first time I buy converse! I am 30 years old. Well I'm super satisfied! This crayon "jeans" goes with everything! Fortunately for against I went into a store, try a pair for me that puts the 39, I had to order ........ 38 !!!!!! I had a little trouble the first two days but the painting is done quickly to my feet. I am already planning to take me brown rising for next fall ;-)</v>
      </c>
    </row>
    <row r="1910">
      <c r="A1910" s="1">
        <v>5.0</v>
      </c>
      <c r="B1910" s="1" t="s">
        <v>1900</v>
      </c>
      <c r="C1910" t="str">
        <f>IFERROR(__xludf.DUMMYFUNCTION("GOOGLETRANSLATE(B1910, ""fr"", ""en"")"),"Fast, accurate, advanced I received this Christmas kettle (so I can not say where it was purchased). Originally, I had spoken of QD658A of the same brand, but the negative comments (smell and taste of plastic in water) made me hesitate ... And also my par"&amp;"ents who wanted to offer me and finally opted for this model. In short, the benefits of Serena - fast heating with temperature that appears as and (so we know where we are at any time of the heater). - Adjustable accurate temperature: 5 ° 5 ° 50 ° 100 ° +"&amp;" 3 preset temperatures. In short, you can do anything! - keeping warm 30 minutes ideal for anticipating (here we start the kettle tea and prepared everything before meals, water is perfect at the end and it remains only to pay!). - stop start button: If y"&amp;"ou throw water and finally it is longer needed, or if you want to stop keeping warm, for example, no need to lift the kettle from its base, just a button press . - no permanent LED light: besides the mess, some evoke eye hazard ... I do not know what it i"&amp;"s but when in doubt I prefer to avoid. The least (because you have to say something): - opening / closing cover: I had a kettle with handle top open button and I could well open and maintain the boiler with one hand. There must be two hands, it's a little"&amp;" less convenient. - location of the water level: below the handle and not on the sides, it is less convenient to see. These are the only flaws I currently it after a few days of use, and frankly anything that makes me regret another model seen the benefit"&amp;"s of this tea.")</f>
        <v>Fast, accurate, advanced I received this Christmas kettle (so I can not say where it was purchased). Originally, I had spoken of QD658A of the same brand, but the negative comments (smell and taste of plastic in water) made me hesitate ... And also my parents who wanted to offer me and finally opted for this model. In short, the benefits of Serena - fast heating with temperature that appears as and (so we know where we are at any time of the heater). - Adjustable accurate temperature: 5 ° 5 ° 50 ° 100 ° + 3 preset temperatures. In short, you can do anything! - keeping warm 30 minutes ideal for anticipating (here we start the kettle tea and prepared everything before meals, water is perfect at the end and it remains only to pay!). - stop start button: If you throw water and finally it is longer needed, or if you want to stop keeping warm, for example, no need to lift the kettle from its base, just a button press . - no permanent LED light: besides the mess, some evoke eye hazard ... I do not know what it is but when in doubt I prefer to avoid. The least (because you have to say something): - opening / closing cover: I had a kettle with handle top open button and I could well open and maintain the boiler with one hand. There must be two hands, it's a little less convenient. - location of the water level: below the handle and not on the sides, it is less convenient to see. These are the only flaws I currently it after a few days of use, and frankly anything that makes me regret another model seen the benefits of this tea.</v>
      </c>
    </row>
    <row r="1911">
      <c r="A1911" s="1">
        <v>5.0</v>
      </c>
      <c r="B1911" s="1" t="s">
        <v>1901</v>
      </c>
      <c r="C1911" t="str">
        <f>IFERROR(__xludf.DUMMYFUNCTION("GOOGLETRANSLATE(B1911, ""fr"", ""en"")"),"impressive value for money • Fast delivery and packaging nickel • RAS product consistent with the description • My daughter no longer colic through its bottles and teats • Long service life I would definitely recommend")</f>
        <v>impressive value for money • Fast delivery and packaging nickel • RAS product consistent with the description • My daughter no longer colic through its bottles and teats • Long service life I would definitely recommend</v>
      </c>
    </row>
    <row r="1912">
      <c r="A1912" s="1">
        <v>5.0</v>
      </c>
      <c r="B1912" s="1" t="s">
        <v>1902</v>
      </c>
      <c r="C1912" t="str">
        <f>IFERROR(__xludf.DUMMYFUNCTION("GOOGLETRANSLATE(B1912, ""fr"", ""en"")"),"Good gift idea Bought for a Christmas gift. Very nice presentation in a nice box.")</f>
        <v>Good gift idea Bought for a Christmas gift. Very nice presentation in a nice box.</v>
      </c>
    </row>
    <row r="1913">
      <c r="A1913" s="1">
        <v>2.0</v>
      </c>
      <c r="B1913" s="1" t="s">
        <v>1903</v>
      </c>
      <c r="C1913" t="str">
        <f>IFERROR(__xludf.DUMMYFUNCTION("GOOGLETRANSLATE(B1913, ""fr"", ""en"")"),"7 months later used with a raspberry pi + 3B default power no longer delivers sufficient amperage")</f>
        <v>7 months later used with a raspberry pi + 3B default power no longer delivers sufficient amperage</v>
      </c>
    </row>
    <row r="1914">
      <c r="A1914" s="1">
        <v>1.0</v>
      </c>
      <c r="B1914" s="1" t="s">
        <v>1904</v>
      </c>
      <c r="C1914" t="str">
        <f>IFERROR(__xludf.DUMMYFUNCTION("GOOGLETRANSLATE(B1914, ""fr"", ""en"")"),"too small pocket computer My computer 15.6 ""does not fit into the pocket (missing 4cm high).")</f>
        <v>too small pocket computer My computer 15.6 "does not fit into the pocket (missing 4cm high).</v>
      </c>
    </row>
    <row r="1915">
      <c r="A1915" s="1">
        <v>3.0</v>
      </c>
      <c r="B1915" s="1" t="s">
        <v>1905</v>
      </c>
      <c r="C1915" t="str">
        <f>IFERROR(__xludf.DUMMYFUNCTION("GOOGLETRANSLATE(B1915, ""fr"", ""en"")"),"Shoe comfortable but really great hot, if you please take the size down. Warm, comfortable, my father is slippery (of 1 carpet coating type)")</f>
        <v>Shoe comfortable but really great hot, if you please take the size down. Warm, comfortable, my father is slippery (of 1 carpet coating type)</v>
      </c>
    </row>
    <row r="1916">
      <c r="A1916" s="1">
        <v>3.0</v>
      </c>
      <c r="B1916" s="1" t="s">
        <v>1906</v>
      </c>
      <c r="C1916" t="str">
        <f>IFERROR(__xludf.DUMMYFUNCTION("GOOGLETRANSLATE(B1916, ""fr"", ""en"")"),"Not bad, but ... The sound, Bluetooth connectivity, autonomy, not bad. No problem to get away from &amp; gt; 10m from the computer or the telephone, the Bluetooth connection keeps running. By cons, disappointed by the noise canceling mode, you always hear peo"&amp;"ple talking and it takes up the volume of what we listen to. The microphone is sensitive, but too sensitive for Skype conversations; The microphone picks up the voice of people to 2-3 meters, and if they are in the same Skype chat does it work very well. "&amp;"And microphone works only via Bluetooth; the wired audio connection only for listening to music. On this model, the USB connection only serves to recharge the battery, unlike other Sennheiser PX550 or like Momentum M2 Wireless that act as headphones / hea"&amp;"dset USB.")</f>
        <v>Not bad, but ... The sound, Bluetooth connectivity, autonomy, not bad. No problem to get away from &amp; gt; 10m from the computer or the telephone, the Bluetooth connection keeps running. By cons, disappointed by the noise canceling mode, you always hear people talking and it takes up the volume of what we listen to. The microphone is sensitive, but too sensitive for Skype conversations; The microphone picks up the voice of people to 2-3 meters, and if they are in the same Skype chat does it work very well. And microphone works only via Bluetooth; the wired audio connection only for listening to music. On this model, the USB connection only serves to recharge the battery, unlike other Sennheiser PX550 or like Momentum M2 Wireless that act as headphones / headset USB.</v>
      </c>
    </row>
    <row r="1917">
      <c r="A1917" s="1">
        <v>4.0</v>
      </c>
      <c r="B1917" s="1" t="s">
        <v>1907</v>
      </c>
      <c r="C1917" t="str">
        <f>IFERROR(__xludf.DUMMYFUNCTION("GOOGLETRANSLATE(B1917, ""fr"", ""en"")"),"Good product Product consistent with the description, very comfortable.")</f>
        <v>Good product Product consistent with the description, very comfortable.</v>
      </c>
    </row>
    <row r="1918">
      <c r="A1918" s="1">
        <v>4.0</v>
      </c>
      <c r="B1918" s="1" t="s">
        <v>1908</v>
      </c>
      <c r="C1918" t="str">
        <f>IFERROR(__xludf.DUMMYFUNCTION("GOOGLETRANSLATE(B1918, ""fr"", ""en"")"),"attention to half size corresponds exactly to the description but be careful, I'm doing 37 1/2 and 38 is still very large and 37 really too small ... (normally I find my happiness despite my odd feet).")</f>
        <v>attention to half size corresponds exactly to the description but be careful, I'm doing 37 1/2 and 38 is still very large and 37 really too small ... (normally I find my happiness despite my odd feet).</v>
      </c>
    </row>
    <row r="1919">
      <c r="A1919" s="1">
        <v>4.0</v>
      </c>
      <c r="B1919" s="1" t="s">
        <v>1909</v>
      </c>
      <c r="C1919" t="str">
        <f>IFERROR(__xludf.DUMMYFUNCTION("GOOGLETRANSLATE(B1919, ""fr"", ""en"")"),"Reception fast but lower quality ink seems less quality than original cartridges. Yellow outweighs my impressions. Can I still have a message stating that I do not use the official cartridges. However, fast receipt and price. Update: great customer servic"&amp;"e and follow-up. Do not hesitate to order to get a good price for printing ""house""")</f>
        <v>Reception fast but lower quality ink seems less quality than original cartridges. Yellow outweighs my impressions. Can I still have a message stating that I do not use the official cartridges. However, fast receipt and price. Update: great customer service and follow-up. Do not hesitate to order to get a good price for printing "house"</v>
      </c>
    </row>
    <row r="1920">
      <c r="A1920" s="1">
        <v>4.0</v>
      </c>
      <c r="B1920" s="1" t="s">
        <v>1910</v>
      </c>
      <c r="C1920" t="str">
        <f>IFERROR(__xludf.DUMMYFUNCTION("GOOGLETRANSLATE(B1920, ""fr"", ""en"")"),"Although Fits clipper.une flint is a flint suitable for Zippo probably ..")</f>
        <v>Although Fits clipper.une flint is a flint suitable for Zippo probably ..</v>
      </c>
    </row>
    <row r="1921">
      <c r="A1921" s="1">
        <v>5.0</v>
      </c>
      <c r="B1921" s="1" t="s">
        <v>1911</v>
      </c>
      <c r="C1921" t="str">
        <f>IFERROR(__xludf.DUMMYFUNCTION("GOOGLETRANSLATE(B1921, ""fr"", ""en"")"),"Adapted to cold They spent the winter at my feet in the Canadian north and all is well !! I recommend this brand")</f>
        <v>Adapted to cold They spent the winter at my feet in the Canadian north and all is well !! I recommend this brand</v>
      </c>
    </row>
    <row r="1922">
      <c r="A1922" s="1">
        <v>5.0</v>
      </c>
      <c r="B1922" s="1" t="s">
        <v>1912</v>
      </c>
      <c r="C1922" t="str">
        <f>IFERROR(__xludf.DUMMYFUNCTION("GOOGLETRANSLATE(B1922, ""fr"", ""en"")"),"Top Super range of bottle used dice the 2nd month for water, anti colic and nice design. Friendly silicone teat")</f>
        <v>Top Super range of bottle used dice the 2nd month for water, anti colic and nice design. Friendly silicone teat</v>
      </c>
    </row>
    <row r="1923">
      <c r="A1923" s="1">
        <v>5.0</v>
      </c>
      <c r="B1923" s="1" t="s">
        <v>1913</v>
      </c>
      <c r="C1923" t="str">
        <f>IFERROR(__xludf.DUMMYFUNCTION("GOOGLETRANSLATE(B1923, ""fr"", ""en"")"),"impeccable effective all what I expected. small practice")</f>
        <v>impeccable effective all what I expected. small practice</v>
      </c>
    </row>
    <row r="1924">
      <c r="A1924" s="1">
        <v>5.0</v>
      </c>
      <c r="B1924" s="1" t="s">
        <v>1914</v>
      </c>
      <c r="C1924" t="str">
        <f>IFERROR(__xludf.DUMMYFUNCTION("GOOGLETRANSLATE(B1924, ""fr"", ""en"")"),"HAPPY I was looking for this model for a long time and after a look on amazon I found my happiness! Very good quality / price, I am fully satisfied with my ICE WATCH!")</f>
        <v>HAPPY I was looking for this model for a long time and after a look on amazon I found my happiness! Very good quality / price, I am fully satisfied with my ICE WATCH!</v>
      </c>
    </row>
    <row r="1925">
      <c r="A1925" s="1">
        <v>5.0</v>
      </c>
      <c r="B1925" s="1" t="s">
        <v>1915</v>
      </c>
      <c r="C1925" t="str">
        <f>IFERROR(__xludf.DUMMYFUNCTION("GOOGLETRANSLATE(B1925, ""fr"", ""en"")"),"Solid / Practice / Capacity Just Perfect box After 3 trials, this one is the best. Unscrewing system is really solid and not buckle eventually like dodies. The capacity is top: 7 + 4 spoon cereal !! The same use, nothing to say negative! And I hesitate be"&amp;"cause the price was low ... no regrets !!!!")</f>
        <v>Solid / Practice / Capacity Just Perfect box After 3 trials, this one is the best. Unscrewing system is really solid and not buckle eventually like dodies. The capacity is top: 7 + 4 spoon cereal !! The same use, nothing to say negative! And I hesitate because the price was low ... no regrets !!!!</v>
      </c>
    </row>
    <row r="1926">
      <c r="A1926" s="1">
        <v>5.0</v>
      </c>
      <c r="B1926" s="1" t="s">
        <v>1916</v>
      </c>
      <c r="C1926" t="str">
        <f>IFERROR(__xludf.DUMMYFUNCTION("GOOGLETRANSLATE(B1926, ""fr"", ""en"")"),"Ok compliant Product")</f>
        <v>Ok compliant Product</v>
      </c>
    </row>
    <row r="1927">
      <c r="A1927" s="1">
        <v>5.0</v>
      </c>
      <c r="B1927" s="1" t="s">
        <v>1687</v>
      </c>
      <c r="C1927" t="str">
        <f>IFERROR(__xludf.DUMMYFUNCTION("GOOGLETRANSLATE(B1927, ""fr"", ""en"")"),"Super Super")</f>
        <v>Super Super</v>
      </c>
    </row>
    <row r="1928">
      <c r="A1928" s="1">
        <v>5.0</v>
      </c>
      <c r="B1928" s="1" t="s">
        <v>1917</v>
      </c>
      <c r="C1928" t="str">
        <f>IFERROR(__xludf.DUMMYFUNCTION("GOOGLETRANSLATE(B1928, ""fr"", ""en"")"),"vintage watch casio watch more than bronze rose gold. But I love it. The CASIO quality is at the appointment. The bracelet is painted steel and so far no scratches. so it looks solid :-)")</f>
        <v>vintage watch casio watch more than bronze rose gold. But I love it. The CASIO quality is at the appointment. The bracelet is painted steel and so far no scratches. so it looks solid :-)</v>
      </c>
    </row>
    <row r="1929">
      <c r="A1929" s="1">
        <v>5.0</v>
      </c>
      <c r="B1929" s="1" t="s">
        <v>1918</v>
      </c>
      <c r="C1929" t="str">
        <f>IFERROR(__xludf.DUMMYFUNCTION("GOOGLETRANSLATE(B1929, ""fr"", ""en"")"),"All functional cartridge made functional on my HP printer cartridge that perfectly meets my occasional printing needs. Easy installation and quality printing.")</f>
        <v>All functional cartridge made functional on my HP printer cartridge that perfectly meets my occasional printing needs. Easy installation and quality printing.</v>
      </c>
    </row>
    <row r="1930">
      <c r="A1930" s="1">
        <v>5.0</v>
      </c>
      <c r="B1930" s="1" t="s">
        <v>1919</v>
      </c>
      <c r="C1930" t="str">
        <f>IFERROR(__xludf.DUMMYFUNCTION("GOOGLETRANSLATE(B1930, ""fr"", ""en"")"),"Coffee for large families. Coffee which I know the brand and quality that its greater capacity offers me a coffee as my tastes and desires. Just one thing, provide filters No. 5 or 6 for my part I took the number 6 for not having a pool overflow in my mor"&amp;"ning coffee. I definitely recommend this product ...")</f>
        <v>Coffee for large families. Coffee which I know the brand and quality that its greater capacity offers me a coffee as my tastes and desires. Just one thing, provide filters No. 5 or 6 for my part I took the number 6 for not having a pool overflow in my morning coffee. I definitely recommend this product ...</v>
      </c>
    </row>
    <row r="1931">
      <c r="A1931" s="1">
        <v>5.0</v>
      </c>
      <c r="B1931" s="1" t="s">
        <v>1920</v>
      </c>
      <c r="C1931" t="str">
        <f>IFERROR(__xludf.DUMMYFUNCTION("GOOGLETRANSLATE(B1931, ""fr"", ""en"")"),"Beautiful shoes Good value, my daughter love it, fast delivery and well packed")</f>
        <v>Beautiful shoes Good value, my daughter love it, fast delivery and well packed</v>
      </c>
    </row>
    <row r="1932">
      <c r="A1932" s="1">
        <v>5.0</v>
      </c>
      <c r="B1932" s="1" t="s">
        <v>1921</v>
      </c>
      <c r="C1932" t="str">
        <f>IFERROR(__xludf.DUMMYFUNCTION("GOOGLETRANSLATE(B1932, ""fr"", ""en"")"),"Size S Having small breasts (80 A) I took the size s, I thought his was going to go myself too but ultimately it is right Poile my size. Aesthetic level they are very pretty. And money mean anything")</f>
        <v>Size S Having small breasts (80 A) I took the size s, I thought his was going to go myself too but ultimately it is right Poile my size. Aesthetic level they are very pretty. And money mean anything</v>
      </c>
    </row>
    <row r="1933">
      <c r="A1933" s="1">
        <v>5.0</v>
      </c>
      <c r="B1933" s="1" t="s">
        <v>1922</v>
      </c>
      <c r="C1933" t="str">
        <f>IFERROR(__xludf.DUMMYFUNCTION("GOOGLETRANSLATE(B1933, ""fr"", ""en"")"),"VERY GOOD SOUND Phone sony headphones sony ... both are perfect")</f>
        <v>VERY GOOD SOUND Phone sony headphones sony ... both are perfect</v>
      </c>
    </row>
    <row r="1934">
      <c r="A1934" s="1">
        <v>5.0</v>
      </c>
      <c r="B1934" s="1" t="s">
        <v>1687</v>
      </c>
      <c r="C1934" t="str">
        <f>IFERROR(__xludf.DUMMYFUNCTION("GOOGLETRANSLATE(B1934, ""fr"", ""en"")"),"Super Super")</f>
        <v>Super Super</v>
      </c>
    </row>
    <row r="1935">
      <c r="A1935" s="1">
        <v>5.0</v>
      </c>
      <c r="B1935" s="1" t="s">
        <v>1923</v>
      </c>
      <c r="C1935" t="str">
        <f>IFERROR(__xludf.DUMMYFUNCTION("GOOGLETRANSLATE(B1935, ""fr"", ""en"")"),"Practical pack and solid bag with multiple pockets handy for walking and have his papers on oneself. Solid and seems impervious to see the use ...")</f>
        <v>Practical pack and solid bag with multiple pockets handy for walking and have his papers on oneself. Solid and seems impervious to see the use ...</v>
      </c>
    </row>
    <row r="1936">
      <c r="A1936" s="1">
        <v>2.0</v>
      </c>
      <c r="B1936" s="1" t="s">
        <v>1924</v>
      </c>
      <c r="C1936" t="str">
        <f>IFERROR(__xludf.DUMMYFUNCTION("GOOGLETRANSLATE(B1936, ""fr"", ""en"")"),"unworthy FM Radio reception I chose this model for embedded FM radio function, but the reception is not sufficient to make the product usable. Only spitting are net regardless of the selected frequency. ... I refer.")</f>
        <v>unworthy FM Radio reception I chose this model for embedded FM radio function, but the reception is not sufficient to make the product usable. Only spitting are net regardless of the selected frequency. ... I refer.</v>
      </c>
    </row>
    <row r="1937">
      <c r="A1937" s="1">
        <v>1.0</v>
      </c>
      <c r="B1937" s="1" t="s">
        <v>1925</v>
      </c>
      <c r="C1937" t="str">
        <f>IFERROR(__xludf.DUMMYFUNCTION("GOOGLETRANSLATE(B1937, ""fr"", ""en"")"),"Stop selling wind. The product has nothing to do with selling pictures. Big scam! Guys its just to avoid this. I had to wait months to receive a presqu'1 flocking logo on the back and sleeves. The fabric looks like plastic. Do not be fooled it's fake 100%")</f>
        <v>Stop selling wind. The product has nothing to do with selling pictures. Big scam! Guys its just to avoid this. I had to wait months to receive a presqu'1 flocking logo on the back and sleeves. The fabric looks like plastic. Do not be fooled it's fake 100%</v>
      </c>
    </row>
    <row r="1938">
      <c r="A1938" s="1">
        <v>1.0</v>
      </c>
      <c r="B1938" s="1" t="s">
        <v>1926</v>
      </c>
      <c r="C1938" t="str">
        <f>IFERROR(__xludf.DUMMYFUNCTION("GOOGLETRANSLATE(B1938, ""fr"", ""en"")"),"Basketball Semelle.dessous that this en.moins fent 3 weeks disappointing because I'm there bien.dedans")</f>
        <v>Basketball Semelle.dessous that this en.moins fent 3 weeks disappointing because I'm there bien.dedans</v>
      </c>
    </row>
    <row r="1939">
      <c r="A1939" s="1">
        <v>3.0</v>
      </c>
      <c r="B1939" s="1" t="s">
        <v>1927</v>
      </c>
      <c r="C1939" t="str">
        <f>IFERROR(__xludf.DUMMYFUNCTION("GOOGLETRANSLATE(B1939, ""fr"", ""en"")"),"Between 3 and 4 stars Received yesterday ... This is my impression of this helmet: Cons: - disappointed bass headphone, too acute in my taste - a bit pricey for a sound quality like that of Sennheiser accustomed to better gaming headset - sort of whistle,"&amp;" ball slamming at times early sponsorship with such - beug at times with blueetown pc on film Goodies: - helmet that looks solid - high enough volume - anti noise helmet, practice in public transport etc. - lege, holds well on the head")</f>
        <v>Between 3 and 4 stars Received yesterday ... This is my impression of this helmet: Cons: - disappointed bass headphone, too acute in my taste - a bit pricey for a sound quality like that of Sennheiser accustomed to better gaming headset - sort of whistle, ball slamming at times early sponsorship with such - beug at times with blueetown pc on film Goodies: - helmet that looks solid - high enough volume - anti noise helmet, practice in public transport etc. - lege, holds well on the head</v>
      </c>
    </row>
    <row r="1940">
      <c r="A1940" s="1">
        <v>3.0</v>
      </c>
      <c r="B1940" s="1" t="s">
        <v>1928</v>
      </c>
      <c r="C1940" t="str">
        <f>IFERROR(__xludf.DUMMYFUNCTION("GOOGLETRANSLATE(B1940, ""fr"", ""en"")"),"Nice pair may marry many outfits. This pair of white shoes make you stand out of the lot and Stan Smith Adidas superstar. The shoe is simple and well proportioned. They are very comfortable. Beware however quite fragile leather. The sole is also very frag"&amp;"ile and seam slowly, letting all the dirt and the air inside the shoe. Mixed record so.")</f>
        <v>Nice pair may marry many outfits. This pair of white shoes make you stand out of the lot and Stan Smith Adidas superstar. The shoe is simple and well proportioned. They are very comfortable. Beware however quite fragile leather. The sole is also very fragile and seam slowly, letting all the dirt and the air inside the shoe. Mixed record so.</v>
      </c>
    </row>
    <row r="1941">
      <c r="A1941" s="1">
        <v>4.0</v>
      </c>
      <c r="B1941" s="1" t="s">
        <v>1929</v>
      </c>
      <c r="C1941" t="str">
        <f>IFERROR(__xludf.DUMMYFUNCTION("GOOGLETRANSLATE(B1941, ""fr"", ""en"")"),"essential for geography Use throughout her education until college: to make a detailed and clean copy in this matter until master! The scarcity makes the price but the quality is the appointment")</f>
        <v>essential for geography Use throughout her education until college: to make a detailed and clean copy in this matter until master! The scarcity makes the price but the quality is the appointment</v>
      </c>
    </row>
    <row r="1942">
      <c r="A1942" s="1">
        <v>4.0</v>
      </c>
      <c r="B1942" s="1" t="s">
        <v>1930</v>
      </c>
      <c r="C1942" t="str">
        <f>IFERROR(__xludf.DUMMYFUNCTION("GOOGLETRANSLATE(B1942, ""fr"", ""en"")"),"product well")</f>
        <v>product well</v>
      </c>
    </row>
    <row r="1943">
      <c r="A1943" s="1">
        <v>4.0</v>
      </c>
      <c r="B1943" s="1" t="s">
        <v>1931</v>
      </c>
      <c r="C1943" t="str">
        <f>IFERROR(__xludf.DUMMYFUNCTION("GOOGLETRANSLATE(B1943, ""fr"", ""en"")"),"ok correct Value for money for the price I buy art")</f>
        <v>ok correct Value for money for the price I buy art</v>
      </c>
    </row>
    <row r="1944">
      <c r="A1944" s="1">
        <v>4.0</v>
      </c>
      <c r="B1944" s="1" t="s">
        <v>1932</v>
      </c>
      <c r="C1944" t="str">
        <f>IFERROR(__xludf.DUMMYFUNCTION("GOOGLETRANSLATE(B1944, ""fr"", ""en"")"),"My 16 year old daughter loves offered to my daughter, and adopted immediately. Too bad there's no gilding on the sides of the bracelet, but you really have the eye.")</f>
        <v>My 16 year old daughter loves offered to my daughter, and adopted immediately. Too bad there's no gilding on the sides of the bracelet, but you really have the eye.</v>
      </c>
    </row>
    <row r="1945">
      <c r="A1945" s="1">
        <v>5.0</v>
      </c>
      <c r="B1945" s="1" t="s">
        <v>1933</v>
      </c>
      <c r="C1945" t="str">
        <f>IFERROR(__xludf.DUMMYFUNCTION("GOOGLETRANSLATE(B1945, ""fr"", ""en"")"),"BO BO with style Very nice. They are fine.")</f>
        <v>BO BO with style Very nice. They are fine.</v>
      </c>
    </row>
    <row r="1946">
      <c r="A1946" s="1">
        <v>5.0</v>
      </c>
      <c r="B1946" s="1" t="s">
        <v>1934</v>
      </c>
      <c r="C1946" t="str">
        <f>IFERROR(__xludf.DUMMYFUNCTION("GOOGLETRANSLATE(B1946, ""fr"", ""en"")"),"Hooded Sweatshirt adidas beautiful quality nice price received in advance nikel")</f>
        <v>Hooded Sweatshirt adidas beautiful quality nice price received in advance nikel</v>
      </c>
    </row>
    <row r="1947">
      <c r="A1947" s="1">
        <v>5.0</v>
      </c>
      <c r="B1947" s="1" t="s">
        <v>1935</v>
      </c>
      <c r="C1947" t="str">
        <f>IFERROR(__xludf.DUMMYFUNCTION("GOOGLETRANSLATE(B1947, ""fr"", ""en"")"),"Canon - KP-108IN - Origin Inkjet Cartridge. No problem with this whole cartridge and paper for SELPHY CP810 Canon printer. I will order from another similar product.")</f>
        <v>Canon - KP-108IN - Origin Inkjet Cartridge. No problem with this whole cartridge and paper for SELPHY CP810 Canon printer. I will order from another similar product.</v>
      </c>
    </row>
    <row r="1948">
      <c r="A1948" s="1">
        <v>5.0</v>
      </c>
      <c r="B1948" s="1" t="s">
        <v>1936</v>
      </c>
      <c r="C1948" t="str">
        <f>IFERROR(__xludf.DUMMYFUNCTION("GOOGLETRANSLATE(B1948, ""fr"", ""en"")"),"Top Very fun, the sound is a more than surprising quality. Really good and very pretty. Kids love")</f>
        <v>Top Very fun, the sound is a more than surprising quality. Really good and very pretty. Kids love</v>
      </c>
    </row>
    <row r="1949">
      <c r="A1949" s="1">
        <v>5.0</v>
      </c>
      <c r="B1949" s="1" t="s">
        <v>1937</v>
      </c>
      <c r="C1949" t="str">
        <f>IFERROR(__xludf.DUMMYFUNCTION("GOOGLETRANSLATE(B1949, ""fr"", ""en"")"),"It works with all ages Good")</f>
        <v>It works with all ages Good</v>
      </c>
    </row>
    <row r="1950">
      <c r="A1950" s="1">
        <v>5.0</v>
      </c>
      <c r="B1950" s="1" t="s">
        <v>1938</v>
      </c>
      <c r="C1950" t="str">
        <f>IFERROR(__xludf.DUMMYFUNCTION("GOOGLETRANSLATE(B1950, ""fr"", ""en"")"),"Perfect for tucking his helmet The helmet is placed on it and is very stable. This is perfect, design and it avoids that it drags!")</f>
        <v>Perfect for tucking his helmet The helmet is placed on it and is very stable. This is perfect, design and it avoids that it drags!</v>
      </c>
    </row>
    <row r="1951">
      <c r="A1951" s="1">
        <v>5.0</v>
      </c>
      <c r="B1951" s="1" t="s">
        <v>1939</v>
      </c>
      <c r="C1951" t="str">
        <f>IFERROR(__xludf.DUMMYFUNCTION("GOOGLETRANSLATE(B1951, ""fr"", ""en"")"),"This good machine vacuum machine does its job by drawing air properly and effortlessly whether dry or wet food, for bread we can even do it manually empty and sealed, and even put under seal without empty. I'm very happy")</f>
        <v>This good machine vacuum machine does its job by drawing air properly and effortlessly whether dry or wet food, for bread we can even do it manually empty and sealed, and even put under seal without empty. I'm very happy</v>
      </c>
    </row>
    <row r="1952">
      <c r="A1952" s="1">
        <v>5.0</v>
      </c>
      <c r="B1952" s="1" t="s">
        <v>1940</v>
      </c>
      <c r="C1952" t="str">
        <f>IFERROR(__xludf.DUMMYFUNCTION("GOOGLETRANSLATE(B1952, ""fr"", ""en"")"),"Adept superb Polychromos faber castle and prismacolors, I am blown away by the quality of the pencils, they are bold, vivid colors, no need to press for a nice effect, mix very subtle. Solid, frankly a very good surprise to recommend without hesitation.")</f>
        <v>Adept superb Polychromos faber castle and prismacolors, I am blown away by the quality of the pencils, they are bold, vivid colors, no need to press for a nice effect, mix very subtle. Solid, frankly a very good surprise to recommend without hesitation.</v>
      </c>
    </row>
    <row r="1953">
      <c r="A1953" s="1">
        <v>5.0</v>
      </c>
      <c r="B1953" s="1" t="s">
        <v>1941</v>
      </c>
      <c r="C1953" t="str">
        <f>IFERROR(__xludf.DUMMYFUNCTION("GOOGLETRANSLATE(B1953, ""fr"", ""en"")"),"Perfect Product compliant, perfect for a baby 6 month old daughter loves it and lets not anxious at the idea that she chokes on a piece of fruit.")</f>
        <v>Perfect Product compliant, perfect for a baby 6 month old daughter loves it and lets not anxious at the idea that she chokes on a piece of fruit.</v>
      </c>
    </row>
    <row r="1954">
      <c r="A1954" s="1">
        <v>5.0</v>
      </c>
      <c r="B1954" s="1" t="s">
        <v>1942</v>
      </c>
      <c r="C1954" t="str">
        <f>IFERROR(__xludf.DUMMYFUNCTION("GOOGLETRANSLATE(B1954, ""fr"", ""en"")"),"Solomon Like all Solomon nickel sneakers. By cons I took the same size as usual and just a little damage")</f>
        <v>Solomon Like all Solomon nickel sneakers. By cons I took the same size as usual and just a little damage</v>
      </c>
    </row>
    <row r="1955">
      <c r="A1955" s="1">
        <v>5.0</v>
      </c>
      <c r="B1955" s="1" t="s">
        <v>1943</v>
      </c>
      <c r="C1955" t="str">
        <f>IFERROR(__xludf.DUMMYFUNCTION("GOOGLETRANSLATE(B1955, ""fr"", ""en"")"),"very cozy! bright winter! it's perfect to return to his warm bed! the advantage, it is the 2 remote controls! each rule as he wants! good quality..")</f>
        <v>very cozy! bright winter! it's perfect to return to his warm bed! the advantage, it is the 2 remote controls! each rule as he wants! good quality..</v>
      </c>
    </row>
    <row r="1956">
      <c r="A1956" s="1">
        <v>5.0</v>
      </c>
      <c r="B1956" s="1" t="s">
        <v>1944</v>
      </c>
      <c r="C1956" t="str">
        <f>IFERROR(__xludf.DUMMYFUNCTION("GOOGLETRANSLATE(B1956, ""fr"", ""en"")"),"Superb sneakers Size perfectly!")</f>
        <v>Superb sneakers Size perfectly!</v>
      </c>
    </row>
    <row r="1957">
      <c r="A1957" s="1">
        <v>5.0</v>
      </c>
      <c r="B1957" s="1" t="s">
        <v>1945</v>
      </c>
      <c r="C1957" t="str">
        <f>IFERROR(__xludf.DUMMYFUNCTION("GOOGLETRANSLATE(B1957, ""fr"", ""en"")"),"PERFECT!! practical, spacious, original design. hygienic quality drainer at the top: solid +++ value for money: Sustainable investment is also convenient for baby dishes")</f>
        <v>PERFECT!! practical, spacious, original design. hygienic quality drainer at the top: solid +++ value for money: Sustainable investment is also convenient for baby dishes</v>
      </c>
    </row>
    <row r="1958">
      <c r="A1958" s="1">
        <v>5.0</v>
      </c>
      <c r="B1958" s="1" t="s">
        <v>1946</v>
      </c>
      <c r="C1958" t="str">
        <f>IFERROR(__xludf.DUMMYFUNCTION("GOOGLETRANSLATE(B1958, ""fr"", ""en"")"),"Stunning !! These earrings are just superb. Very elegant, really beautiful. I just love it !!")</f>
        <v>Stunning !! These earrings are just superb. Very elegant, really beautiful. I just love it !!</v>
      </c>
    </row>
    <row r="1959">
      <c r="A1959" s="1">
        <v>5.0</v>
      </c>
      <c r="B1959" s="1" t="s">
        <v>1947</v>
      </c>
      <c r="C1959" t="str">
        <f>IFERROR(__xludf.DUMMYFUNCTION("GOOGLETRANSLATE(B1959, ""fr"", ""en"")"),"To buy eyes closed Only 11 €, this bracelet does not work mounted on a watch over 1,500 €. After over two years of use, it shows some signs of wear but was more patient than the original strap of this luxury watch.")</f>
        <v>To buy eyes closed Only 11 €, this bracelet does not work mounted on a watch over 1,500 €. After over two years of use, it shows some signs of wear but was more patient than the original strap of this luxury watch.</v>
      </c>
    </row>
    <row r="1960">
      <c r="A1960" s="1">
        <v>2.0</v>
      </c>
      <c r="B1960" s="1" t="s">
        <v>1948</v>
      </c>
      <c r="C1960" t="str">
        <f>IFERROR(__xludf.DUMMYFUNCTION("GOOGLETRANSLATE(B1960, ""fr"", ""en"")"),"A little disappointed but not Pretty easy to attach because they are very thin and small so a little disappointed .. they have the fragile air")</f>
        <v>A little disappointed but not Pretty easy to attach because they are very thin and small so a little disappointed .. they have the fragile air</v>
      </c>
    </row>
    <row r="1961">
      <c r="A1961" s="1">
        <v>1.0</v>
      </c>
      <c r="B1961" s="1" t="s">
        <v>1949</v>
      </c>
      <c r="C1961" t="str">
        <f>IFERROR(__xludf.DUMMYFUNCTION("GOOGLETRANSLATE(B1961, ""fr"", ""en"")"),"I do not recommend Quality is blah parts breakage that before we are able to ask them properly.")</f>
        <v>I do not recommend Quality is blah parts breakage that before we are able to ask them properly.</v>
      </c>
    </row>
    <row r="1962">
      <c r="A1962" s="1">
        <v>1.0</v>
      </c>
      <c r="B1962" s="1" t="s">
        <v>1950</v>
      </c>
      <c r="C1962" t="str">
        <f>IFERROR(__xludf.DUMMYFUNCTION("GOOGLETRANSLATE(B1962, ""fr"", ""en"")"),"lousy quality ... One of the two pairs was broken with the arrival of the very light control, its bad I do not recommend at all")</f>
        <v>lousy quality ... One of the two pairs was broken with the arrival of the very light control, its bad I do not recommend at all</v>
      </c>
    </row>
    <row r="1963">
      <c r="A1963" s="1">
        <v>3.0</v>
      </c>
      <c r="B1963" s="1" t="s">
        <v>1951</v>
      </c>
      <c r="C1963" t="str">
        <f>IFERROR(__xludf.DUMMYFUNCTION("GOOGLETRANSLATE(B1963, ""fr"", ""en"")"),"Impeccable Very good model, slightly smaller size than other brands (molded sole), comfort. Excellent value")</f>
        <v>Impeccable Very good model, slightly smaller size than other brands (molded sole), comfort. Excellent value</v>
      </c>
    </row>
    <row r="1964">
      <c r="A1964" s="1">
        <v>4.0</v>
      </c>
      <c r="B1964" s="1" t="s">
        <v>1952</v>
      </c>
      <c r="C1964" t="str">
        <f>IFERROR(__xludf.DUMMYFUNCTION("GOOGLETRANSLATE(B1964, ""fr"", ""en"")"),"Fine products for the price Fine products for the price")</f>
        <v>Fine products for the price Fine products for the price</v>
      </c>
    </row>
    <row r="1965">
      <c r="A1965" s="1">
        <v>4.0</v>
      </c>
      <c r="B1965" s="1" t="s">
        <v>1953</v>
      </c>
      <c r="C1965" t="str">
        <f>IFERROR(__xludf.DUMMYFUNCTION("GOOGLETRANSLATE(B1965, ""fr"", ""en"")"),"triangular surprisingly large capacity bottle (270 ml) to the readable scale. The handles - removable - help baby learn to take her as a great bibi. One star less for the triangular shape that I find surprising and more difficult to clean than a bottle ro"&amp;"und.")</f>
        <v>triangular surprisingly large capacity bottle (270 ml) to the readable scale. The handles - removable - help baby learn to take her as a great bibi. One star less for the triangular shape that I find surprising and more difficult to clean than a bottle round.</v>
      </c>
    </row>
    <row r="1966">
      <c r="A1966" s="1">
        <v>4.0</v>
      </c>
      <c r="B1966" s="1" t="s">
        <v>1954</v>
      </c>
      <c r="C1966" t="str">
        <f>IFERROR(__xludf.DUMMYFUNCTION("GOOGLETRANSLATE(B1966, ""fr"", ""en"")"),"Micro okay Pros: - Cheap - Space saving - Convenient: no worries because battery is plugged into the device Negative: - Even indoors without noise around, there is a large parasitic noise it I need to correct in post-production. We lose a lot in sound qua"&amp;"lity, even if the sound picked up close to the microphone. I received a defective microphone?")</f>
        <v>Micro okay Pros: - Cheap - Space saving - Convenient: no worries because battery is plugged into the device Negative: - Even indoors without noise around, there is a large parasitic noise it I need to correct in post-production. We lose a lot in sound quality, even if the sound picked up close to the microphone. I received a defective microphone?</v>
      </c>
    </row>
    <row r="1967">
      <c r="A1967" s="1">
        <v>4.0</v>
      </c>
      <c r="B1967" s="1" t="s">
        <v>1955</v>
      </c>
      <c r="C1967" t="str">
        <f>IFERROR(__xludf.DUMMYFUNCTION("GOOGLETRANSLATE(B1967, ""fr"", ""en"")"),"Well maintained and comfortable I took size M (S) and the size is perfect! A good support without being too tight so comfortable! The only small downside (for the summer) is that the material keeps you warm. I plan to order more jackets this brand and I r"&amp;"ecommend them.")</f>
        <v>Well maintained and comfortable I took size M (S) and the size is perfect! A good support without being too tight so comfortable! The only small downside (for the summer) is that the material keeps you warm. I plan to order more jackets this brand and I recommend them.</v>
      </c>
    </row>
    <row r="1968">
      <c r="A1968" s="1">
        <v>5.0</v>
      </c>
      <c r="B1968" s="1" t="s">
        <v>1956</v>
      </c>
      <c r="C1968" t="str">
        <f>IFERROR(__xludf.DUMMYFUNCTION("GOOGLETRANSLATE(B1968, ""fr"", ""en"")"),"Ras Protection is the right size for a 3 pronged gray card with the detachable coupon for vehicle registration information published in 2017 a little complicated to put on, so go gently to the last part as this may damage the card gray The shipment was re"&amp;"latively fast, a few days")</f>
        <v>Ras Protection is the right size for a 3 pronged gray card with the detachable coupon for vehicle registration information published in 2017 a little complicated to put on, so go gently to the last part as this may damage the card gray The shipment was relatively fast, a few days</v>
      </c>
    </row>
    <row r="1969">
      <c r="A1969" s="1">
        <v>5.0</v>
      </c>
      <c r="B1969" s="1" t="s">
        <v>1957</v>
      </c>
      <c r="C1969" t="str">
        <f>IFERROR(__xludf.DUMMYFUNCTION("GOOGLETRANSLATE(B1969, ""fr"", ""en"")"),"good value prices ras")</f>
        <v>good value prices ras</v>
      </c>
    </row>
    <row r="1970">
      <c r="A1970" s="1">
        <v>5.0</v>
      </c>
      <c r="B1970" s="1" t="s">
        <v>1958</v>
      </c>
      <c r="C1970" t="str">
        <f>IFERROR(__xludf.DUMMYFUNCTION("GOOGLETRANSLATE(B1970, ""fr"", ""en"")"),"Ok I love it! The shoes are very comfortable and the quality is présente.Je am very pleased to have achhiverr his shoes because they are well suited as expected and more I got delivered rapidement.En short, a good pair of shoes , airy with a very raisonna"&amp;"ble.Je price recommends, the size is correct.")</f>
        <v>Ok I love it! The shoes are very comfortable and the quality is présente.Je am very pleased to have achhiverr his shoes because they are well suited as expected and more I got delivered rapidement.En short, a good pair of shoes , airy with a very raisonnable.Je price recommends, the size is correct.</v>
      </c>
    </row>
    <row r="1971">
      <c r="A1971" s="1">
        <v>5.0</v>
      </c>
      <c r="B1971" s="1" t="s">
        <v>1959</v>
      </c>
      <c r="C1971" t="str">
        <f>IFERROR(__xludf.DUMMYFUNCTION("GOOGLETRANSLATE(B1971, ""fr"", ""en"")"),"Diffuser perfect I ordered this diffuser of essential oils in a very friendly seller. The package was delivered very quickly and in perfect condition. Very easy to use, I installed without assistance and easily. The leaflet is clear and simple, so I could"&amp;" start up the diffuser without any complications. It works perfectly well, is quiet and stops by itself when the water level is too low. The changing light diffuser are soothing. I am very satisfied with my purchase. I recommend this seller.")</f>
        <v>Diffuser perfect I ordered this diffuser of essential oils in a very friendly seller. The package was delivered very quickly and in perfect condition. Very easy to use, I installed without assistance and easily. The leaflet is clear and simple, so I could start up the diffuser without any complications. It works perfectly well, is quiet and stops by itself when the water level is too low. The changing light diffuser are soothing. I am very satisfied with my purchase. I recommend this seller.</v>
      </c>
    </row>
    <row r="1972">
      <c r="A1972" s="1">
        <v>5.0</v>
      </c>
      <c r="B1972" s="1" t="s">
        <v>1960</v>
      </c>
      <c r="C1972" t="str">
        <f>IFERROR(__xludf.DUMMYFUNCTION("GOOGLETRANSLATE(B1972, ""fr"", ""en"")"),"Heater Super fast water product")</f>
        <v>Heater Super fast water product</v>
      </c>
    </row>
    <row r="1973">
      <c r="A1973" s="1">
        <v>5.0</v>
      </c>
      <c r="B1973" s="1" t="s">
        <v>1961</v>
      </c>
      <c r="C1973" t="str">
        <f>IFERROR(__xludf.DUMMYFUNCTION("GOOGLETRANSLATE(B1973, ""fr"", ""en"")"),"Wouahw Very nice, and very simple. I wash with every day for the past 1 months, it holds very well, the color does not go or will transfer into a green on my wrist. For my leaving it does not bother me at all and clings anywhere, even in woolen sweaters.")</f>
        <v>Wouahw Very nice, and very simple. I wash with every day for the past 1 months, it holds very well, the color does not go or will transfer into a green on my wrist. For my leaving it does not bother me at all and clings anywhere, even in woolen sweaters.</v>
      </c>
    </row>
    <row r="1974">
      <c r="A1974" s="1">
        <v>5.0</v>
      </c>
      <c r="B1974" s="1" t="s">
        <v>1962</v>
      </c>
      <c r="C1974" t="str">
        <f>IFERROR(__xludf.DUMMYFUNCTION("GOOGLETRANSLATE(B1974, ""fr"", ""en"")"),"Beautiful shoulder bag - Perfect for EDC I thought the product was going to be great because of the size but in the end it's perfect. The capacity is important with any pocket. A ventral, dorsal and central, what fill your bag. My check book goes smoothly"&amp;" and a small bottle of water. This bag has done its job for urban EDC survival flashlight coverage tourniquet turnstile military, baton bright guy Cyalume, firesteel, small medical kit, folding knife, pliers multitools markers / pencils, paper identities,"&amp;" logbook, checkbook key clip ... I left a bag on a maxpedition brand to do my EDC but 90 euros a bag similar in size I preferred to fall back on it much cheaper and goes everywhere. I recommend. For color, it would be more of a dark gray than black")</f>
        <v>Beautiful shoulder bag - Perfect for EDC I thought the product was going to be great because of the size but in the end it's perfect. The capacity is important with any pocket. A ventral, dorsal and central, what fill your bag. My check book goes smoothly and a small bottle of water. This bag has done its job for urban EDC survival flashlight coverage tourniquet turnstile military, baton bright guy Cyalume, firesteel, small medical kit, folding knife, pliers multitools markers / pencils, paper identities, logbook, checkbook key clip ... I left a bag on a maxpedition brand to do my EDC but 90 euros a bag similar in size I preferred to fall back on it much cheaper and goes everywhere. I recommend. For color, it would be more of a dark gray than black</v>
      </c>
    </row>
    <row r="1975">
      <c r="A1975" s="1">
        <v>5.0</v>
      </c>
      <c r="B1975" s="1" t="s">
        <v>1963</v>
      </c>
      <c r="C1975" t="str">
        <f>IFERROR(__xludf.DUMMYFUNCTION("GOOGLETRANSLATE(B1975, ""fr"", ""en"")"),"Sony MDR-ZX310B Foldable Headphones - Black ... Just perfect for the use for which it is intended. Mainly used to listen to music videos and movies on your smartphone, tablet, computer or TV, this headset fulfills its role. I find it comfortable and makes"&amp;" it pliable allows me to follow in the backpack when I travel by motorcycle. I also find it very convenient to the jack 90 which allows the wire to be always in line for a possible tightness. Hard to ask for much more for such a price.")</f>
        <v>Sony MDR-ZX310B Foldable Headphones - Black ... Just perfect for the use for which it is intended. Mainly used to listen to music videos and movies on your smartphone, tablet, computer or TV, this headset fulfills its role. I find it comfortable and makes it pliable allows me to follow in the backpack when I travel by motorcycle. I also find it very convenient to the jack 90 which allows the wire to be always in line for a possible tightness. Hard to ask for much more for such a price.</v>
      </c>
    </row>
    <row r="1976">
      <c r="A1976" s="1">
        <v>5.0</v>
      </c>
      <c r="B1976" s="1" t="s">
        <v>1964</v>
      </c>
      <c r="C1976" t="str">
        <f>IFERROR(__xludf.DUMMYFUNCTION("GOOGLETRANSLATE(B1976, ""fr"", ""en"")"),"I love I love, size 3XL very well. Quality is also very good. ca visually throws! I ca 37years 10years rejuvenated me!")</f>
        <v>I love I love, size 3XL very well. Quality is also very good. ca visually throws! I ca 37years 10years rejuvenated me!</v>
      </c>
    </row>
    <row r="1977">
      <c r="A1977" s="1">
        <v>5.0</v>
      </c>
      <c r="B1977" s="1" t="s">
        <v>1965</v>
      </c>
      <c r="C1977" t="str">
        <f>IFERROR(__xludf.DUMMYFUNCTION("GOOGLETRANSLATE(B1977, ""fr"", ""en"")"),"Okay These magnets are powerful. Are often subject to pain in the calf (Achilles tendon). I slipped into my socks and it is effective.")</f>
        <v>Okay These magnets are powerful. Are often subject to pain in the calf (Achilles tendon). I slipped into my socks and it is effective.</v>
      </c>
    </row>
    <row r="1978">
      <c r="A1978" s="1">
        <v>5.0</v>
      </c>
      <c r="B1978" s="1" t="s">
        <v>1966</v>
      </c>
      <c r="C1978" t="str">
        <f>IFERROR(__xludf.DUMMYFUNCTION("GOOGLETRANSLATE(B1978, ""fr"", ""en"")"),"Excellent Very good shoes")</f>
        <v>Excellent Very good shoes</v>
      </c>
    </row>
    <row r="1979">
      <c r="A1979" s="1">
        <v>5.0</v>
      </c>
      <c r="B1979" s="1" t="s">
        <v>1967</v>
      </c>
      <c r="C1979" t="str">
        <f>IFERROR(__xludf.DUMMYFUNCTION("GOOGLETRANSLATE(B1979, ""fr"", ""en"")"),"PADGENE Sneakers The sneakers are nice but provide a size up. Return and refund made in less than 24 hours. I recommend this very professional seller.")</f>
        <v>PADGENE Sneakers The sneakers are nice but provide a size up. Return and refund made in less than 24 hours. I recommend this very professional seller.</v>
      </c>
    </row>
    <row r="1980">
      <c r="A1980" s="1">
        <v>5.0</v>
      </c>
      <c r="B1980" s="1" t="s">
        <v>1968</v>
      </c>
      <c r="C1980" t="str">
        <f>IFERROR(__xludf.DUMMYFUNCTION("GOOGLETRANSLATE(B1980, ""fr"", ""en"")"),"Very comfortable shoes very pretty and pleasant to wear shoes but 8JE of 38 and have found some great advice I take half a size below below sq usual size")</f>
        <v>Very comfortable shoes very pretty and pleasant to wear shoes but 8JE of 38 and have found some great advice I take half a size below below sq usual size</v>
      </c>
    </row>
    <row r="1981">
      <c r="A1981" s="1">
        <v>5.0</v>
      </c>
      <c r="B1981" s="1" t="s">
        <v>1969</v>
      </c>
      <c r="C1981" t="str">
        <f>IFERROR(__xludf.DUMMYFUNCTION("GOOGLETRANSLATE(B1981, ""fr"", ""en"")"),"Really pretty nice")</f>
        <v>Really pretty nice</v>
      </c>
    </row>
    <row r="1982">
      <c r="A1982" s="1">
        <v>5.0</v>
      </c>
      <c r="B1982" s="1" t="s">
        <v>1970</v>
      </c>
      <c r="C1982" t="str">
        <f>IFERROR(__xludf.DUMMYFUNCTION("GOOGLETRANSLATE(B1982, ""fr"", ""en"")"),"Super I recommend these books. My daughter is in PC lilies alone. The story is written in large letters and art not charge its not discouraged children")</f>
        <v>Super I recommend these books. My daughter is in PC lilies alone. The story is written in large letters and art not charge its not discouraged children</v>
      </c>
    </row>
    <row r="1983">
      <c r="A1983" s="1">
        <v>2.0</v>
      </c>
      <c r="B1983" s="1" t="s">
        <v>1971</v>
      </c>
      <c r="C1983" t="str">
        <f>IFERROR(__xludf.DUMMYFUNCTION("GOOGLETRANSLATE(B1983, ""fr"", ""en"")"),"Disappointed by Article Synthetic")</f>
        <v>Disappointed by Article Synthetic</v>
      </c>
    </row>
    <row r="1984">
      <c r="A1984" s="1">
        <v>1.0</v>
      </c>
      <c r="B1984" s="1" t="s">
        <v>1972</v>
      </c>
      <c r="C1984" t="str">
        <f>IFERROR(__xludf.DUMMYFUNCTION("GOOGLETRANSLATE(B1984, ""fr"", ""en"")"),"I recommend the lightweight plastic garbage bag does not like, the plastic structure very light and very expensive for what it is !! disappointed")</f>
        <v>I recommend the lightweight plastic garbage bag does not like, the plastic structure very light and very expensive for what it is !! disappointed</v>
      </c>
    </row>
    <row r="1985">
      <c r="A1985" s="1">
        <v>3.0</v>
      </c>
      <c r="B1985" s="1" t="s">
        <v>1973</v>
      </c>
      <c r="C1985" t="str">
        <f>IFERROR(__xludf.DUMMYFUNCTION("GOOGLETRANSLATE(B1985, ""fr"", ""en"")"),"various parameters to take into account I did not know and I found out. Well, the first test I would return, then the taming or, more accurately, bypassing trouble, I admit that this is not so bad, but it's not paradise either. I'll explain. We must recog"&amp;"nize that if it is placed on a chaise longue (semi-horizontal position) in total normal walking, we destroyed back in stride ... and I am convinced that for any device like this it ' is more of the same, but nevermind. Indeed, if placed vertically the fel"&amp;"t can be assayed, but it's perfectly uncomfortable because then you tend to go on before seen the place that he needs and takes on the chair or the chair where it is installed. As I said earlier, I bypassed the problem by placing between the camera and my"&amp;" back (on a couch, note), a beach mattress ... and there, everything is different ... and above all possible!")</f>
        <v>various parameters to take into account I did not know and I found out. Well, the first test I would return, then the taming or, more accurately, bypassing trouble, I admit that this is not so bad, but it's not paradise either. I'll explain. We must recognize that if it is placed on a chaise longue (semi-horizontal position) in total normal walking, we destroyed back in stride ... and I am convinced that for any device like this it ' is more of the same, but nevermind. Indeed, if placed vertically the felt can be assayed, but it's perfectly uncomfortable because then you tend to go on before seen the place that he needs and takes on the chair or the chair where it is installed. As I said earlier, I bypassed the problem by placing between the camera and my back (on a couch, note), a beach mattress ... and there, everything is different ... and above all possible!</v>
      </c>
    </row>
    <row r="1986">
      <c r="A1986" s="1">
        <v>3.0</v>
      </c>
      <c r="B1986" s="1" t="s">
        <v>1974</v>
      </c>
      <c r="C1986" t="str">
        <f>IFERROR(__xludf.DUMMYFUNCTION("GOOGLETRANSLATE(B1986, ""fr"", ""en"")"),"the bell does not work ringer not working, so no alarm")</f>
        <v>the bell does not work ringer not working, so no alarm</v>
      </c>
    </row>
    <row r="1987">
      <c r="A1987" s="1">
        <v>4.0</v>
      </c>
      <c r="B1987" s="1" t="s">
        <v>1975</v>
      </c>
      <c r="C1987" t="str">
        <f>IFERROR(__xludf.DUMMYFUNCTION("GOOGLETRANSLATE(B1987, ""fr"", ""en"")"),"Although product according to the expected")</f>
        <v>Although product according to the expected</v>
      </c>
    </row>
    <row r="1988">
      <c r="A1988" s="1">
        <v>4.0</v>
      </c>
      <c r="B1988" s="1" t="s">
        <v>1976</v>
      </c>
      <c r="C1988" t="str">
        <f>IFERROR(__xludf.DUMMYFUNCTION("GOOGLETRANSLATE(B1988, ""fr"", ""en"")"),"Simple Simple principle of bain marie We just have to anticipate the bottle and take it 10 minutes before Easy to carry")</f>
        <v>Simple Simple principle of bain marie We just have to anticipate the bottle and take it 10 minutes before Easy to carry</v>
      </c>
    </row>
    <row r="1989">
      <c r="A1989" s="1">
        <v>4.0</v>
      </c>
      <c r="B1989" s="1" t="s">
        <v>1977</v>
      </c>
      <c r="C1989" t="str">
        <f>IFERROR(__xludf.DUMMYFUNCTION("GOOGLETRANSLATE(B1989, ""fr"", ""en"")"),"Magnificent beautiful watch but watch, just you can hear the needle is hard enough when you are in a quiet place or before sleeping")</f>
        <v>Magnificent beautiful watch but watch, just you can hear the needle is hard enough when you are in a quiet place or before sleeping</v>
      </c>
    </row>
    <row r="1990">
      <c r="A1990" s="1">
        <v>4.0</v>
      </c>
      <c r="B1990" s="1" t="s">
        <v>1978</v>
      </c>
      <c r="C1990" t="str">
        <f>IFERROR(__xludf.DUMMYFUNCTION("GOOGLETRANSLATE(B1990, ""fr"", ""en"")"),"Good value for sports shoes. Very light and very comfortable.")</f>
        <v>Good value for sports shoes. Very light and very comfortable.</v>
      </c>
    </row>
    <row r="1991">
      <c r="A1991" s="1">
        <v>4.0</v>
      </c>
      <c r="B1991" s="1" t="s">
        <v>1979</v>
      </c>
      <c r="C1991" t="str">
        <f>IFERROR(__xludf.DUMMYFUNCTION("GOOGLETRANSLATE(B1991, ""fr"", ""en"")"),"Good. A little damaged on top from the start, a large folds across, over time it merges with another.")</f>
        <v>Good. A little damaged on top from the start, a large folds across, over time it merges with another.</v>
      </c>
    </row>
    <row r="1992">
      <c r="A1992" s="1">
        <v>5.0</v>
      </c>
      <c r="B1992" s="1" t="s">
        <v>1980</v>
      </c>
      <c r="C1992" t="str">
        <f>IFERROR(__xludf.DUMMYFUNCTION("GOOGLETRANSLATE(B1992, ""fr"", ""en"")"),"Bottles Perfect perfect. To me these are the best bottles.")</f>
        <v>Bottles Perfect perfect. To me these are the best bottles.</v>
      </c>
    </row>
    <row r="1993">
      <c r="A1993" s="1">
        <v>5.0</v>
      </c>
      <c r="B1993" s="1" t="s">
        <v>1981</v>
      </c>
      <c r="C1993" t="str">
        <f>IFERROR(__xludf.DUMMYFUNCTION("GOOGLETRANSLATE(B1993, ""fr"", ""en"")"),"Beautiful and practical Very nice bag, not cumbersome, perfect size for a wallet. I took a gray, beautiful color and quality. I recommend")</f>
        <v>Beautiful and practical Very nice bag, not cumbersome, perfect size for a wallet. I took a gray, beautiful color and quality. I recommend</v>
      </c>
    </row>
    <row r="1994">
      <c r="A1994" s="1">
        <v>5.0</v>
      </c>
      <c r="B1994" s="1" t="s">
        <v>1982</v>
      </c>
      <c r="C1994" t="str">
        <f>IFERROR(__xludf.DUMMYFUNCTION("GOOGLETRANSLATE(B1994, ""fr"", ""en"")"),"Basketball quality basketball quality, good size, comfortable from the user. delivery in time.")</f>
        <v>Basketball quality basketball quality, good size, comfortable from the user. delivery in time.</v>
      </c>
    </row>
    <row r="1995">
      <c r="A1995" s="1">
        <v>5.0</v>
      </c>
      <c r="B1995" s="1" t="s">
        <v>1983</v>
      </c>
      <c r="C1995" t="str">
        <f>IFERROR(__xludf.DUMMYFUNCTION("GOOGLETRANSLATE(B1995, ""fr"", ""en"")"),"INTERACTIVE OUTSTANDING 1 year intensive use and always on top. THE MORE .All works perfectly / reactivity good external connections / good sound / battery ok / very light / solid / protective cover travel ok / good design more discreet / options on the h"&amp;"eadset simple and useful / quality ok prices. THE LESSERS . Despite a voice and a LED on the headset indicates the connections, a visual icon on screen is a plus .. A headset while a really pro and operational, I recommend. Operation of purchase and deliv"&amp;"ery 👍🚀 Amazon.")</f>
        <v>INTERACTIVE OUTSTANDING 1 year intensive use and always on top. THE MORE .All works perfectly / reactivity good external connections / good sound / battery ok / very light / solid / protective cover travel ok / good design more discreet / options on the headset simple and useful / quality ok prices. THE LESSERS . Despite a voice and a LED on the headset indicates the connections, a visual icon on screen is a plus .. A headset while a really pro and operational, I recommend. Operation of purchase and delivery 👍🚀 Amazon.</v>
      </c>
    </row>
    <row r="1996">
      <c r="A1996" s="1">
        <v>5.0</v>
      </c>
      <c r="B1996" s="1" t="s">
        <v>1984</v>
      </c>
      <c r="C1996" t="str">
        <f>IFERROR(__xludf.DUMMYFUNCTION("GOOGLETRANSLATE(B1996, ""fr"", ""en"")"),"TIGER MCA68-BK Microphone stand Easy to install and use, for ceremony in a church, I would recommend this product to anyone who needs it.")</f>
        <v>TIGER MCA68-BK Microphone stand Easy to install and use, for ceremony in a church, I would recommend this product to anyone who needs it.</v>
      </c>
    </row>
    <row r="1997">
      <c r="A1997" s="1">
        <v>5.0</v>
      </c>
      <c r="B1997" s="1" t="s">
        <v>1985</v>
      </c>
      <c r="C1997" t="str">
        <f>IFERROR(__xludf.DUMMYFUNCTION("GOOGLETRANSLATE(B1997, ""fr"", ""en"")"),"Clarks Batcombe Lo Boots very comfortable, good size and are beautiful. Thank you")</f>
        <v>Clarks Batcombe Lo Boots very comfortable, good size and are beautiful. Thank you</v>
      </c>
    </row>
    <row r="1998">
      <c r="A1998" s="1">
        <v>5.0</v>
      </c>
      <c r="B1998" s="1" t="s">
        <v>1986</v>
      </c>
      <c r="C1998" t="str">
        <f>IFERROR(__xludf.DUMMYFUNCTION("GOOGLETRANSLATE(B1998, ""fr"", ""en"")"),"Good value a product that I like, it prevents limescale dyed in the bottom of the bowl. Clean feeling every time we flushed.")</f>
        <v>Good value a product that I like, it prevents limescale dyed in the bottom of the bowl. Clean feeling every time we flushed.</v>
      </c>
    </row>
    <row r="1999">
      <c r="A1999" s="1">
        <v>5.0</v>
      </c>
      <c r="B1999" s="1" t="s">
        <v>1987</v>
      </c>
      <c r="C1999" t="str">
        <f>IFERROR(__xludf.DUMMYFUNCTION("GOOGLETRANSLATE(B1999, ""fr"", ""en"")"),"Very happy Matches perfectly with my expectations")</f>
        <v>Very happy Matches perfectly with my expectations</v>
      </c>
    </row>
    <row r="2000">
      <c r="A2000" s="1">
        <v>5.0</v>
      </c>
      <c r="B2000" s="1" t="s">
        <v>1988</v>
      </c>
      <c r="C2000" t="str">
        <f>IFERROR(__xludf.DUMMYFUNCTION("GOOGLETRANSLATE(B2000, ""fr"", ""en"")"),"Well, pretty lovely bracelet, consistent with the description ... I love the color of different stones, the size of the stones is good for me ... He joined other band ... I did not bought for a health effect, if after he has a good ...")</f>
        <v>Well, pretty lovely bracelet, consistent with the description ... I love the color of different stones, the size of the stones is good for me ... He joined other band ... I did not bought for a health effect, if after he has a good ...</v>
      </c>
    </row>
    <row r="2001">
      <c r="A2001" s="1">
        <v>5.0</v>
      </c>
      <c r="B2001" s="1" t="s">
        <v>1989</v>
      </c>
      <c r="C2001" t="str">
        <f>IFERROR(__xludf.DUMMYFUNCTION("GOOGLETRANSLATE(B2001, ""fr"", ""en"")"),"RAS Very comfortable and dou")</f>
        <v>RAS Very comfortable and dou</v>
      </c>
    </row>
    <row r="2002">
      <c r="A2002" s="1">
        <v>5.0</v>
      </c>
      <c r="B2002" s="1" t="s">
        <v>1990</v>
      </c>
      <c r="C2002" t="str">
        <f>IFERROR(__xludf.DUMMYFUNCTION("GOOGLETRANSLATE(B2002, ""fr"", ""en"")"),"Okay, I'm not an expert in watercolor, just a beginner, but I find these brushes good qualities. The hairs hold well and are silky. Very good quality / price ratio.")</f>
        <v>Okay, I'm not an expert in watercolor, just a beginner, but I find these brushes good qualities. The hairs hold well and are silky. Very good quality / price ratio.</v>
      </c>
    </row>
    <row r="2003">
      <c r="A2003" s="1">
        <v>5.0</v>
      </c>
      <c r="B2003" s="1" t="s">
        <v>1991</v>
      </c>
      <c r="C2003" t="str">
        <f>IFERROR(__xludf.DUMMYFUNCTION("GOOGLETRANSLATE(B2003, ""fr"", ""en"")"),"Excellent bottle warmer, fast and complete &lt;div id = ""video-block-R7Y3J2JITN1IU"" class = ""a-section-spacing-small in-spacing-top mini video-block""&gt; &lt;/ div&gt; &lt;input type = "" hidden ""name ="" ""value ="" https://images-eu.ssl-images-amazon.com/images/I"&amp;"/C1uCRB9aZqS.mp4 ""class ="" video-url ""&gt; &lt;input type ="" hidden ""name = """" value = ""https://images-eu.ssl-images-amazon.com/images/I/81Vd3IRfSyS.png"" class = ""video-slate-img-url""&gt; &amp; nbsp; I bought this bottle warmer for small that I keep and fra"&amp;"nkly I'm not disappointed. It heats the bottle at 37 ° in 1 minute max, maintains warm, sterilized bottles. It's expensive but comprehensive, practical and easy to use. In addition, the bain-marie is convenient to hold the bottle warm when baby pauses.")</f>
        <v>Excellent bottle warmer, fast and complete &lt;div id = "video-block-R7Y3J2JITN1IU" class = "a-section-spacing-small in-spacing-top mini video-block"&gt; &lt;/ div&gt; &lt;input type = " hidden "name =" "value =" https://images-eu.ssl-images-amazon.com/images/I/C1uCRB9aZqS.mp4 "class =" video-url "&gt; &lt;input type =" hidden "name = "" value = "https://images-eu.ssl-images-amazon.com/images/I/81Vd3IRfSyS.png" class = "video-slate-img-url"&gt; &amp; nbsp; I bought this bottle warmer for small that I keep and frankly I'm not disappointed. It heats the bottle at 37 ° in 1 minute max, maintains warm, sterilized bottles. It's expensive but comprehensive, practical and easy to use. In addition, the bain-marie is convenient to hold the bottle warm when baby pauses.</v>
      </c>
    </row>
    <row r="2004">
      <c r="A2004" s="1">
        <v>5.0</v>
      </c>
      <c r="B2004" s="1" t="s">
        <v>1992</v>
      </c>
      <c r="C2004" t="str">
        <f>IFERROR(__xludf.DUMMYFUNCTION("GOOGLETRANSLATE(B2004, ""fr"", ""en"")"),"Very well written and is cleared properly.")</f>
        <v>Very well written and is cleared properly.</v>
      </c>
    </row>
    <row r="2005">
      <c r="A2005" s="1">
        <v>5.0</v>
      </c>
      <c r="B2005" s="1" t="s">
        <v>1993</v>
      </c>
      <c r="C2005" t="str">
        <f>IFERROR(__xludf.DUMMYFUNCTION("GOOGLETRANSLATE(B2005, ""fr"", ""en"")"),"Good headphones with good features The headphones are comfortable to wear and the sound quality is as expected. The left and right headphones can work together or independently of each other. headphones have touch control and easy to use. The carrying cas"&amp;"e has a LED display to show you the status of remaining charge. There is also a USB port that can be used to charge your phone, but the integrated battery has enough capacity to completely change your phone, but it is useful in an emergency. Warning: The "&amp;"outside of the loading case is easily scratched. So be sure to store it. if not it's a good product")</f>
        <v>Good headphones with good features The headphones are comfortable to wear and the sound quality is as expected. The left and right headphones can work together or independently of each other. headphones have touch control and easy to use. The carrying case has a LED display to show you the status of remaining charge. There is also a USB port that can be used to charge your phone, but the integrated battery has enough capacity to completely change your phone, but it is useful in an emergency. Warning: The outside of the loading case is easily scratched. So be sure to store it. if not it's a good product</v>
      </c>
    </row>
    <row r="2006">
      <c r="A2006" s="1">
        <v>5.0</v>
      </c>
      <c r="B2006" s="1" t="s">
        <v>1994</v>
      </c>
      <c r="C2006" t="str">
        <f>IFERROR(__xludf.DUMMYFUNCTION("GOOGLETRANSLATE(B2006, ""fr"", ""en"")"),"Complies description This shredder is fine. I took the micro version of cut. These are really small pieces. I have not yet had the opportunity to pass a credit card but in piles of leaves 7-8 pass a slower but they pass. Level noise saying that if it is f"&amp;"or one or two papers that will. But if you have several documents to be destroyed may need to wait to be during the day. The evening is a bit noisy. Not enough to remove a star. For me it completed the contract I will edit my review if I have concerns for"&amp;" the destruction of credit card")</f>
        <v>Complies description This shredder is fine. I took the micro version of cut. These are really small pieces. I have not yet had the opportunity to pass a credit card but in piles of leaves 7-8 pass a slower but they pass. Level noise saying that if it is for one or two papers that will. But if you have several documents to be destroyed may need to wait to be during the day. The evening is a bit noisy. Not enough to remove a star. For me it completed the contract I will edit my review if I have concerns for the destruction of credit card</v>
      </c>
    </row>
    <row r="2007">
      <c r="A2007" s="1">
        <v>5.0</v>
      </c>
      <c r="B2007" s="1" t="s">
        <v>1995</v>
      </c>
      <c r="C2007" t="str">
        <f>IFERROR(__xludf.DUMMYFUNCTION("GOOGLETRANSLATE(B2007, ""fr"", ""en"")"),"Super Super kettle produces a color for each temperature. RAS")</f>
        <v>Super Super kettle produces a color for each temperature. RAS</v>
      </c>
    </row>
    <row r="2008">
      <c r="A2008" s="1">
        <v>2.0</v>
      </c>
      <c r="B2008" s="1" t="s">
        <v>1996</v>
      </c>
      <c r="C2008" t="str">
        <f>IFERROR(__xludf.DUMMYFUNCTION("GOOGLETRANSLATE(B2008, ""fr"", ""en"")"),"In like c manner against jacket nikel ... but the pants are too big in size like the .. This is a shame for the price 215 €. I'm really over")</f>
        <v>In like c manner against jacket nikel ... but the pants are too big in size like the .. This is a shame for the price 215 €. I'm really over</v>
      </c>
    </row>
    <row r="2009">
      <c r="A2009" s="1">
        <v>1.0</v>
      </c>
      <c r="B2009" s="1" t="s">
        <v>1997</v>
      </c>
      <c r="C2009" t="str">
        <f>IFERROR(__xludf.DUMMYFUNCTION("GOOGLETRANSLATE(B2009, ""fr"", ""en"")"),"LEGGINGS arrived too transparent, I do not recommend")</f>
        <v>LEGGINGS arrived too transparent, I do not recommend</v>
      </c>
    </row>
    <row r="2010">
      <c r="A2010" s="1">
        <v>1.0</v>
      </c>
      <c r="B2010" s="1" t="s">
        <v>1998</v>
      </c>
      <c r="C2010" t="str">
        <f>IFERROR(__xludf.DUMMYFUNCTION("GOOGLETRANSLATE(B2010, ""fr"", ""en"")"),"Too small I will not use too small")</f>
        <v>Too small I will not use too small</v>
      </c>
    </row>
    <row r="2011">
      <c r="A2011" s="1">
        <v>3.0</v>
      </c>
      <c r="B2011" s="1" t="s">
        <v>1999</v>
      </c>
      <c r="C2011" t="str">
        <f>IFERROR(__xludf.DUMMYFUNCTION("GOOGLETRANSLATE(B2011, ""fr"", ""en"")"),"Very good record if he n'e No wet. Very nice bracelet, but must not be wet, even accidentally because the halos will leave more.")</f>
        <v>Very good record if he n'e No wet. Very nice bracelet, but must not be wet, even accidentally because the halos will leave more.</v>
      </c>
    </row>
    <row r="2012">
      <c r="A2012" s="1">
        <v>3.0</v>
      </c>
      <c r="B2012" s="1" t="s">
        <v>2000</v>
      </c>
      <c r="C2012" t="str">
        <f>IFERROR(__xludf.DUMMYFUNCTION("GOOGLETRANSLATE(B2012, ""fr"", ""en"")"),"Although Good product overall, but cotton leaves many tucking into the machine the first wash and I find the neckline and sleeves a bit too wide ..!")</f>
        <v>Although Good product overall, but cotton leaves many tucking into the machine the first wash and I find the neckline and sleeves a bit too wide ..!</v>
      </c>
    </row>
    <row r="2013">
      <c r="A2013" s="1">
        <v>4.0</v>
      </c>
      <c r="B2013" s="1" t="s">
        <v>2001</v>
      </c>
      <c r="C2013" t="str">
        <f>IFERROR(__xludf.DUMMYFUNCTION("GOOGLETRANSLATE(B2013, ""fr"", ""en"")"),"Super maintaining After a month of use 3x / week the item is not moved. The maintenance is still top. Not necessarily easy to put on and remove, but this is the price for that fit.")</f>
        <v>Super maintaining After a month of use 3x / week the item is not moved. The maintenance is still top. Not necessarily easy to put on and remove, but this is the price for that fit.</v>
      </c>
    </row>
    <row r="2014">
      <c r="A2014" s="1">
        <v>4.0</v>
      </c>
      <c r="B2014" s="1" t="s">
        <v>2002</v>
      </c>
      <c r="C2014" t="str">
        <f>IFERROR(__xludf.DUMMYFUNCTION("GOOGLETRANSLATE(B2014, ""fr"", ""en"")"),"great I bought purple size M instead of L and I did well because large size. The M may correspond to a person placing of 42. The fabric is thin careful not crazy lol batting. purple color is just beautiful I recommend")</f>
        <v>great I bought purple size M instead of L and I did well because large size. The M may correspond to a person placing of 42. The fabric is thin careful not crazy lol batting. purple color is just beautiful I recommend</v>
      </c>
    </row>
    <row r="2015">
      <c r="A2015" s="1">
        <v>4.0</v>
      </c>
      <c r="B2015" s="1" t="s">
        <v>2003</v>
      </c>
      <c r="C2015" t="str">
        <f>IFERROR(__xludf.DUMMYFUNCTION("GOOGLETRANSLATE(B2015, ""fr"", ""en"")"),"Great product Extractor happy with my purchase works great beautiful effect in the kitchen")</f>
        <v>Great product Extractor happy with my purchase works great beautiful effect in the kitchen</v>
      </c>
    </row>
    <row r="2016">
      <c r="A2016" s="1">
        <v>4.0</v>
      </c>
      <c r="B2016" s="1" t="s">
        <v>2004</v>
      </c>
      <c r="C2016" t="str">
        <f>IFERROR(__xludf.DUMMYFUNCTION("GOOGLETRANSLATE(B2016, ""fr"", ""en"")"),"Super Super nice this penditif ... Can be worn for any occasion, it is discreet and at the same time super nice ... Returning from vacation on a small tan, a black dress, it is really perfect ...")</f>
        <v>Super Super nice this penditif ... Can be worn for any occasion, it is discreet and at the same time super nice ... Returning from vacation on a small tan, a black dress, it is really perfect ...</v>
      </c>
    </row>
    <row r="2017">
      <c r="A2017" s="1">
        <v>5.0</v>
      </c>
      <c r="B2017" s="1" t="s">
        <v>2005</v>
      </c>
      <c r="C2017" t="str">
        <f>IFERROR(__xludf.DUMMYFUNCTION("GOOGLETRANSLATE(B2017, ""fr"", ""en"")"),"Very well I bought for my daughter, size we asked is, the fabric is soft to touch and stretch. At waist level it does not fall and it does not greenhouse. Jogging suits him very well two front pockets. I'm happy with my purchase.")</f>
        <v>Very well I bought for my daughter, size we asked is, the fabric is soft to touch and stretch. At waist level it does not fall and it does not greenhouse. Jogging suits him very well two front pockets. I'm happy with my purchase.</v>
      </c>
    </row>
    <row r="2018">
      <c r="A2018" s="1">
        <v>5.0</v>
      </c>
      <c r="B2018" s="1" t="s">
        <v>2006</v>
      </c>
      <c r="C2018" t="str">
        <f>IFERROR(__xludf.DUMMYFUNCTION("GOOGLETRANSLATE(B2018, ""fr"", ""en"")"),"Super Simple and effective product, nothing more to say on this.")</f>
        <v>Super Simple and effective product, nothing more to say on this.</v>
      </c>
    </row>
    <row r="2019">
      <c r="A2019" s="1">
        <v>5.0</v>
      </c>
      <c r="B2019" s="1" t="s">
        <v>2007</v>
      </c>
      <c r="C2019" t="str">
        <f>IFERROR(__xludf.DUMMYFUNCTION("GOOGLETRANSLATE(B2019, ""fr"", ""en"")"),"Quality and efficiency almost perfect microphone for my use, I need is a pop filter to avoid some unpleasant noises but easily erasable mounting. Do not take too much space, easy to use even for novices, beautiful design very professional, resistant foot "&amp;"with a slip underneath to hold it. We can pass the wire to the back foot which is extremely convenient. For me there is no real downside, if perhaps only the microphone records surrounding sounds but it remains a detail again recoverable mounting. Nothing"&amp;" to report, it changes your life! Especially for budget travelers who want quality.")</f>
        <v>Quality and efficiency almost perfect microphone for my use, I need is a pop filter to avoid some unpleasant noises but easily erasable mounting. Do not take too much space, easy to use even for novices, beautiful design very professional, resistant foot with a slip underneath to hold it. We can pass the wire to the back foot which is extremely convenient. For me there is no real downside, if perhaps only the microphone records surrounding sounds but it remains a detail again recoverable mounting. Nothing to report, it changes your life! Especially for budget travelers who want quality.</v>
      </c>
    </row>
    <row r="2020">
      <c r="A2020" s="1">
        <v>5.0</v>
      </c>
      <c r="B2020" s="1" t="s">
        <v>2008</v>
      </c>
      <c r="C2020" t="str">
        <f>IFERROR(__xludf.DUMMYFUNCTION("GOOGLETRANSLATE(B2020, ""fr"", ""en"")"),"Made in italy it is very good for Greek feet Made in italy it is very good for Greek feet. I had already ordered other model even more feminine size of Chinese manufacturing but better suited to the Egyptian or Asiatic feet. This model there remains class"&amp;"ic shape and more standard size.")</f>
        <v>Made in italy it is very good for Greek feet Made in italy it is very good for Greek feet. I had already ordered other model even more feminine size of Chinese manufacturing but better suited to the Egyptian or Asiatic feet. This model there remains classic shape and more standard size.</v>
      </c>
    </row>
    <row r="2021">
      <c r="A2021" s="1">
        <v>5.0</v>
      </c>
      <c r="B2021" s="1" t="s">
        <v>2009</v>
      </c>
      <c r="C2021" t="str">
        <f>IFERROR(__xludf.DUMMYFUNCTION("GOOGLETRANSLATE(B2021, ""fr"", ""en"")"),"Very effective shelf that cleans well zero trace! very satisfied")</f>
        <v>Very effective shelf that cleans well zero trace! very satisfied</v>
      </c>
    </row>
    <row r="2022">
      <c r="A2022" s="1">
        <v>5.0</v>
      </c>
      <c r="B2022" s="1" t="s">
        <v>2010</v>
      </c>
      <c r="C2022" t="str">
        <f>IFERROR(__xludf.DUMMYFUNCTION("GOOGLETRANSLATE(B2022, ""fr"", ""en"")"),"Good product ! Very happy with my purchase. I cumulus 17, these new shoes are lighter and very pleasant.")</f>
        <v>Good product ! Very happy with my purchase. I cumulus 17, these new shoes are lighter and very pleasant.</v>
      </c>
    </row>
    <row r="2023">
      <c r="A2023" s="1">
        <v>5.0</v>
      </c>
      <c r="B2023" s="1" t="s">
        <v>2011</v>
      </c>
      <c r="C2023" t="str">
        <f>IFERROR(__xludf.DUMMYFUNCTION("GOOGLETRANSLATE(B2023, ""fr"", ""en"")"),"Perfect. The top. No complaints. Operation at the top. The progressiveness of the lighting is very well distributed. In short I am very satisfied")</f>
        <v>Perfect. The top. No complaints. Operation at the top. The progressiveness of the lighting is very well distributed. In short I am very satisfied</v>
      </c>
    </row>
    <row r="2024">
      <c r="A2024" s="1">
        <v>5.0</v>
      </c>
      <c r="B2024" s="1" t="s">
        <v>2012</v>
      </c>
      <c r="C2024" t="str">
        <f>IFERROR(__xludf.DUMMYFUNCTION("GOOGLETRANSLATE(B2024, ""fr"", ""en"")"),"The boot as a boot Aigle boots are guarantees of quality and in addition this model is very comfortable. Moreover it is made for large calves.")</f>
        <v>The boot as a boot Aigle boots are guarantees of quality and in addition this model is very comfortable. Moreover it is made for large calves.</v>
      </c>
    </row>
    <row r="2025">
      <c r="A2025" s="1">
        <v>5.0</v>
      </c>
      <c r="B2025" s="1" t="s">
        <v>2013</v>
      </c>
      <c r="C2025" t="str">
        <f>IFERROR(__xludf.DUMMYFUNCTION("GOOGLETRANSLATE(B2025, ""fr"", ""en"")"),"Great product! Parents of twins are therefore seeking effective products and good value for money! We bought 2 bottles was much !! Here no concern that the positive! Very easy to clean, very durable. Only negative, we bought 2 but not at the same time ..."&amp;" One was bright green (very good) and the other was old green (ugly ...). If my review was helpful to you, thank you to click! If my comments and experience sharing interest you, you can subscribe you! Thank you!")</f>
        <v>Great product! Parents of twins are therefore seeking effective products and good value for money! We bought 2 bottles was much !! Here no concern that the positive! Very easy to clean, very durable. Only negative, we bought 2 but not at the same time ... One was bright green (very good) and the other was old green (ugly ...). If my review was helpful to you, thank you to click! If my comments and experience sharing interest you, you can subscribe you! Thank you!</v>
      </c>
    </row>
    <row r="2026">
      <c r="A2026" s="1">
        <v>5.0</v>
      </c>
      <c r="B2026" s="1" t="s">
        <v>2014</v>
      </c>
      <c r="C2026" t="str">
        <f>IFERROR(__xludf.DUMMYFUNCTION("GOOGLETRANSLATE(B2026, ""fr"", ""en"")"),"More efficient Product no sting because the insects avoid me now")</f>
        <v>More efficient Product no sting because the insects avoid me now</v>
      </c>
    </row>
    <row r="2027">
      <c r="A2027" s="1">
        <v>5.0</v>
      </c>
      <c r="B2027" s="1" t="s">
        <v>2015</v>
      </c>
      <c r="C2027" t="str">
        <f>IFERROR(__xludf.DUMMYFUNCTION("GOOGLETRANSLATE(B2027, ""fr"", ""en"")"),"Anti limestone Perfect")</f>
        <v>Anti limestone Perfect</v>
      </c>
    </row>
    <row r="2028">
      <c r="A2028" s="1">
        <v>5.0</v>
      </c>
      <c r="B2028" s="1" t="s">
        <v>2016</v>
      </c>
      <c r="C2028" t="str">
        <f>IFERROR(__xludf.DUMMYFUNCTION("GOOGLETRANSLATE(B2028, ""fr"", ""en"")"),"Perfect Kids love this collection!")</f>
        <v>Perfect Kids love this collection!</v>
      </c>
    </row>
    <row r="2029">
      <c r="A2029" s="1">
        <v>5.0</v>
      </c>
      <c r="B2029" s="1" t="s">
        <v>2017</v>
      </c>
      <c r="C2029" t="str">
        <f>IFERROR(__xludf.DUMMYFUNCTION("GOOGLETRANSLATE(B2029, ""fr"", ""en"")"),"Wonderful Pandora charm Very nice quality for this Pandora charm that my husband gave me for Christmas. I like the deep blue color. I was really spoiled.")</f>
        <v>Wonderful Pandora charm Very nice quality for this Pandora charm that my husband gave me for Christmas. I like the deep blue color. I was really spoiled.</v>
      </c>
    </row>
    <row r="2030">
      <c r="A2030" s="1">
        <v>5.0</v>
      </c>
      <c r="B2030" s="1" t="s">
        <v>2018</v>
      </c>
      <c r="C2030" t="str">
        <f>IFERROR(__xludf.DUMMYFUNCTION("GOOGLETRANSLATE(B2030, ""fr"", ""en"")"),"Super I recommend it very convenient to follow us everywhere Ideal for camping small and convenient")</f>
        <v>Super I recommend it very convenient to follow us everywhere Ideal for camping small and convenient</v>
      </c>
    </row>
    <row r="2031">
      <c r="A2031" s="1">
        <v>5.0</v>
      </c>
      <c r="B2031" s="1" t="s">
        <v>2019</v>
      </c>
      <c r="C2031" t="str">
        <f>IFERROR(__xludf.DUMMYFUNCTION("GOOGLETRANSLATE(B2031, ""fr"", ""en"")"),"Facial mask. Perfect facial mask! Be careful you rinse it off before it gets too light green, as this can dehydrate the skin and tug you. The container is of good quality: very tight.")</f>
        <v>Facial mask. Perfect facial mask! Be careful you rinse it off before it gets too light green, as this can dehydrate the skin and tug you. The container is of good quality: very tight.</v>
      </c>
    </row>
    <row r="2032">
      <c r="A2032" s="1">
        <v>2.0</v>
      </c>
      <c r="B2032" s="1" t="s">
        <v>2020</v>
      </c>
      <c r="C2032" t="str">
        <f>IFERROR(__xludf.DUMMYFUNCTION("GOOGLETRANSLATE(B2032, ""fr"", ""en"")"),"Too bad all types of baby bottles do not fit properly. I have both Dodies, the Advent of Mam's, Tommee Tippee and of Suavinex and when I put they do not fit properly and I have to remove either the rings or caps. Besides this sterilizer take much space")</f>
        <v>Too bad all types of baby bottles do not fit properly. I have both Dodies, the Advent of Mam's, Tommee Tippee and of Suavinex and when I put they do not fit properly and I have to remove either the rings or caps. Besides this sterilizer take much space</v>
      </c>
    </row>
    <row r="2033">
      <c r="A2033" s="1">
        <v>1.0</v>
      </c>
      <c r="B2033" s="1" t="s">
        <v>2021</v>
      </c>
      <c r="C2033" t="str">
        <f>IFERROR(__xludf.DUMMYFUNCTION("GOOGLETRANSLATE(B2033, ""fr"", ""en"")"),"Very bad cut Not all fit, we believe buy s limit but we are left with a size between M and L")</f>
        <v>Very bad cut Not all fit, we believe buy s limit but we are left with a size between M and L</v>
      </c>
    </row>
    <row r="2034">
      <c r="A2034" s="1">
        <v>1.0</v>
      </c>
      <c r="B2034" s="1" t="s">
        <v>2022</v>
      </c>
      <c r="C2034" t="str">
        <f>IFERROR(__xludf.DUMMYFUNCTION("GOOGLETRANSLATE(B2034, ""fr"", ""en"")"),"DECEPTION SHIRT THIS PRODUCT IS NOT IN CHIFFON SILK C BUT IS A SHIRT POLYESTER 100% AGO DECEIT PRODUCT")</f>
        <v>DECEPTION SHIRT THIS PRODUCT IS NOT IN CHIFFON SILK C BUT IS A SHIRT POLYESTER 100% AGO DECEIT PRODUCT</v>
      </c>
    </row>
    <row r="2035">
      <c r="A2035" s="1">
        <v>3.0</v>
      </c>
      <c r="B2035" s="1" t="s">
        <v>2023</v>
      </c>
      <c r="C2035" t="str">
        <f>IFERROR(__xludf.DUMMYFUNCTION("GOOGLETRANSLATE(B2035, ""fr"", ""en"")"),"Do not use on fabric Bought for scratching cushions on a bed frame to make a round bed, Velcro does not stick to the fabric and trying to sew the fabric, the glue adhesive is deposited on the needle and makes it unusable. As part of my use I do not recomm"&amp;"end the adhesive Velcro.")</f>
        <v>Do not use on fabric Bought for scratching cushions on a bed frame to make a round bed, Velcro does not stick to the fabric and trying to sew the fabric, the glue adhesive is deposited on the needle and makes it unusable. As part of my use I do not recommend the adhesive Velcro.</v>
      </c>
    </row>
    <row r="2036">
      <c r="A2036" s="1">
        <v>3.0</v>
      </c>
      <c r="B2036" s="1" t="s">
        <v>2024</v>
      </c>
      <c r="C2036" t="str">
        <f>IFERROR(__xludf.DUMMYFUNCTION("GOOGLETRANSLATE(B2036, ""fr"", ""en"")"),"Quality / unjustified price Excludes hot as long as a traditional water bottle. Moreover it is necessary to heat the 2minute 30 that roughly hot")</f>
        <v>Quality / unjustified price Excludes hot as long as a traditional water bottle. Moreover it is necessary to heat the 2minute 30 that roughly hot</v>
      </c>
    </row>
    <row r="2037">
      <c r="A2037" s="1">
        <v>4.0</v>
      </c>
      <c r="B2037" s="1" t="s">
        <v>2025</v>
      </c>
      <c r="C2037" t="str">
        <f>IFERROR(__xludf.DUMMYFUNCTION("GOOGLETRANSLATE(B2037, ""fr"", ""en"")"),"Noisy but Good fast kettle large capacity and easy to use. Heater fast but a bit noisy")</f>
        <v>Noisy but Good fast kettle large capacity and easy to use. Heater fast but a bit noisy</v>
      </c>
    </row>
    <row r="2038">
      <c r="A2038" s="1">
        <v>4.0</v>
      </c>
      <c r="B2038" s="1" t="s">
        <v>2026</v>
      </c>
      <c r="C2038" t="str">
        <f>IFERROR(__xludf.DUMMYFUNCTION("GOOGLETRANSLATE(B2038, ""fr"", ""en"")"),"Nickel Super product")</f>
        <v>Nickel Super product</v>
      </c>
    </row>
    <row r="2039">
      <c r="A2039" s="1">
        <v>4.0</v>
      </c>
      <c r="B2039" s="1" t="s">
        <v>2027</v>
      </c>
      <c r="C2039" t="str">
        <f>IFERROR(__xludf.DUMMYFUNCTION("GOOGLETRANSLATE(B2039, ""fr"", ""en"")"),"Fast delivery Gift")</f>
        <v>Fast delivery Gift</v>
      </c>
    </row>
    <row r="2040">
      <c r="A2040" s="1">
        <v>4.0</v>
      </c>
      <c r="B2040" s="1" t="s">
        <v>2028</v>
      </c>
      <c r="C2040" t="str">
        <f>IFERROR(__xludf.DUMMYFUNCTION("GOOGLETRANSLATE(B2040, ""fr"", ""en"")"),"perfect bag; My wife made me push to buy this bag, since I left the more so it is convenient. Everything holds in portfolio, car papers, reading light and even a small umbrella. Really good")</f>
        <v>perfect bag; My wife made me push to buy this bag, since I left the more so it is convenient. Everything holds in portfolio, car papers, reading light and even a small umbrella. Really good</v>
      </c>
    </row>
    <row r="2041">
      <c r="A2041" s="1">
        <v>5.0</v>
      </c>
      <c r="B2041" s="1" t="s">
        <v>2029</v>
      </c>
      <c r="C2041" t="str">
        <f>IFERROR(__xludf.DUMMYFUNCTION("GOOGLETRANSLATE(B2041, ""fr"", ""en"")"),"Legging with handy pocket leggings good quality non-transparent and pocket on the practical side")</f>
        <v>Legging with handy pocket leggings good quality non-transparent and pocket on the practical side</v>
      </c>
    </row>
    <row r="2042">
      <c r="A2042" s="1">
        <v>5.0</v>
      </c>
      <c r="B2042" s="1" t="s">
        <v>2030</v>
      </c>
      <c r="C2042" t="str">
        <f>IFERROR(__xludf.DUMMYFUNCTION("GOOGLETRANSLATE(B2042, ""fr"", ""en"")"),"Eyes closed I highly recommend this watch at very low prices for auto of this quality! Invicta is a brand to which I will buy more for sure!")</f>
        <v>Eyes closed I highly recommend this watch at very low prices for auto of this quality! Invicta is a brand to which I will buy more for sure!</v>
      </c>
    </row>
    <row r="2043">
      <c r="A2043" s="1">
        <v>5.0</v>
      </c>
      <c r="B2043" s="1" t="s">
        <v>2031</v>
      </c>
      <c r="C2043" t="str">
        <f>IFERROR(__xludf.DUMMYFUNCTION("GOOGLETRANSLATE(B2043, ""fr"", ""en"")"),"A beautiful ornament to give his love or to yourself I was looking for a gift for the birthday of my girlfriend. This all seemed to be the right answer. I was not disappointed with my choice. The first surprise is the size of the ""heart"" of the pendant:"&amp;" much bigger than I imagined it to me. Besides the crystal is very beautiful and shines a lot. The small crystals surrounding the heart they too are very bright (see photos). With the frame of shining golden brown, the whole is truly lovely and luxurious."&amp;" Much more than its price. The seller claims crystals from Zwarovski home, and saw the beauty of crystals I think that's the case. The earrings are in keeping. The stones are very pretty and installation is rather well done. The whole is tasteful and spar"&amp;"kles in the sun or under the lights dimmed for a romantic evening. The sublime adornment happy wearer. Suffice to say that I love my wife and love to the point of going to work with and almost want to sleep with.")</f>
        <v>A beautiful ornament to give his love or to yourself I was looking for a gift for the birthday of my girlfriend. This all seemed to be the right answer. I was not disappointed with my choice. The first surprise is the size of the "heart" of the pendant: much bigger than I imagined it to me. Besides the crystal is very beautiful and shines a lot. The small crystals surrounding the heart they too are very bright (see photos). With the frame of shining golden brown, the whole is truly lovely and luxurious. Much more than its price. The seller claims crystals from Zwarovski home, and saw the beauty of crystals I think that's the case. The earrings are in keeping. The stones are very pretty and installation is rather well done. The whole is tasteful and sparkles in the sun or under the lights dimmed for a romantic evening. The sublime adornment happy wearer. Suffice to say that I love my wife and love to the point of going to work with and almost want to sleep with.</v>
      </c>
    </row>
    <row r="2044">
      <c r="A2044" s="1">
        <v>5.0</v>
      </c>
      <c r="B2044" s="1" t="s">
        <v>2032</v>
      </c>
      <c r="C2044" t="str">
        <f>IFERROR(__xludf.DUMMYFUNCTION("GOOGLETRANSLATE(B2044, ""fr"", ""en"")"),"Perfect, except for the absence of a one / off button This version 2019 MixAmp is very good, both in the construction of product quality sound (with beyerdynamic DT 770 modded and modmic home for Antlion me). So no disappointment regarding the sound. The "&amp;"only downside MixAmp 2019, is the incomprehensible lack of an on / off button. So either you disconnect each time (risking damage to your ports USB / Micro USB for power) or leave you permanently turn (LED lit and premature wear, even if it is supposed to"&amp;" be designed for), including if your consoles remain on standby. Suffice to say that no solution is satisfactory. To overcome this design flaw, it will go through a micro magnetic USB cable / USB type Netdot gen 10 (eg) that solve the perennial way proble"&amp;"m and without degradation USB slot / micro usb caused by connections / power disconnect multiple.")</f>
        <v>Perfect, except for the absence of a one / off button This version 2019 MixAmp is very good, both in the construction of product quality sound (with beyerdynamic DT 770 modded and modmic home for Antlion me). So no disappointment regarding the sound. The only downside MixAmp 2019, is the incomprehensible lack of an on / off button. So either you disconnect each time (risking damage to your ports USB / Micro USB for power) or leave you permanently turn (LED lit and premature wear, even if it is supposed to be designed for), including if your consoles remain on standby. Suffice to say that no solution is satisfactory. To overcome this design flaw, it will go through a micro magnetic USB cable / USB type Netdot gen 10 (eg) that solve the perennial way problem and without degradation USB slot / micro usb caused by connections / power disconnect multiple.</v>
      </c>
    </row>
    <row r="2045">
      <c r="A2045" s="1">
        <v>5.0</v>
      </c>
      <c r="B2045" s="1" t="s">
        <v>2033</v>
      </c>
      <c r="C2045" t="str">
        <f>IFERROR(__xludf.DUMMYFUNCTION("GOOGLETRANSLATE(B2045, ""fr"", ""en"")"),"Pleasant I bought these for my Bluetooth headset specially jogging or when I ride my bike. As in the picture, the headphones come in a box with 4 LEDs to indicate the charge level. This case serves as charger can fully recharge the headphones 4-5 times. T"&amp;"he earphones are expected to have a range of 6 hours. I never used them until complete discharge, so point to check. The holding is excellent and the sound quality is good if one thinks in terms of price / quality ratio. A USB cable-c is provided with the"&amp;" assembly. I recommend.")</f>
        <v>Pleasant I bought these for my Bluetooth headset specially jogging or when I ride my bike. As in the picture, the headphones come in a box with 4 LEDs to indicate the charge level. This case serves as charger can fully recharge the headphones 4-5 times. The earphones are expected to have a range of 6 hours. I never used them until complete discharge, so point to check. The holding is excellent and the sound quality is good if one thinks in terms of price / quality ratio. A USB cable-c is provided with the assembly. I recommend.</v>
      </c>
    </row>
    <row r="2046">
      <c r="A2046" s="1">
        <v>5.0</v>
      </c>
      <c r="B2046" s="1" t="s">
        <v>2034</v>
      </c>
      <c r="C2046" t="str">
        <f>IFERROR(__xludf.DUMMYFUNCTION("GOOGLETRANSLATE(B2046, ""fr"", ""en"")"),"a package insert key to set the hour I had a hard time putting it on time! no more explanation leaflet was attached. again, I am obliged to return it to you, with a difference e twenty minutes between the digital time and the needles!")</f>
        <v>a package insert key to set the hour I had a hard time putting it on time! no more explanation leaflet was attached. again, I am obliged to return it to you, with a difference e twenty minutes between the digital time and the needles!</v>
      </c>
    </row>
    <row r="2047">
      <c r="A2047" s="1">
        <v>5.0</v>
      </c>
      <c r="B2047" s="1" t="s">
        <v>2035</v>
      </c>
      <c r="C2047" t="str">
        <f>IFERROR(__xludf.DUMMYFUNCTION("GOOGLETRANSLATE(B2047, ""fr"", ""en"")"),"Amazing &lt;div id = ""video-block-R2LDEI7GVTESQ"" class = ""a-section-spacing-small in-spacing-top mini video-block""&gt; &lt;/ div&gt; &lt;input type = ""hidden"" name = """" value = ""https://images-eu.ssl-images-amazon.com/images/I/81RqPW52qDS.mp4"" class = ""video-"&amp;"url""&gt; &lt;input type = ""hidden"" name = """" value = ""https : //images-eu.ssl-images-amazon.com/images/I/91lO8taRhVS.png ""class ="" video-slate-img-url ""&gt; &amp; nbsp; I was pleasantly surprised by the visual appearance of this watch. I wear it every day. I "&amp;"hope she will in time")</f>
        <v>Amazing &lt;div id = "video-block-R2LDEI7GVTESQ" class = "a-section-spacing-small in-spacing-top mini video-block"&gt; &lt;/ div&gt; &lt;input type = "hidden" name = "" value = "https://images-eu.ssl-images-amazon.com/images/I/81RqPW52qDS.mp4" class = "video-url"&gt; &lt;input type = "hidden" name = "" value = "https : //images-eu.ssl-images-amazon.com/images/I/91lO8taRhVS.png "class =" video-slate-img-url "&gt; &amp; nbsp; I was pleasantly surprised by the visual appearance of this watch. I wear it every day. I hope she will in time</v>
      </c>
    </row>
    <row r="2048">
      <c r="A2048" s="1">
        <v>5.0</v>
      </c>
      <c r="B2048" s="1" t="s">
        <v>2036</v>
      </c>
      <c r="C2048" t="str">
        <f>IFERROR(__xludf.DUMMYFUNCTION("GOOGLETRANSLATE(B2048, ""fr"", ""en"")"),"Super Super I offered to my husband. He loves cool too.")</f>
        <v>Super Super I offered to my husband. He loves cool too.</v>
      </c>
    </row>
    <row r="2049">
      <c r="A2049" s="1">
        <v>5.0</v>
      </c>
      <c r="B2049" s="1" t="s">
        <v>2037</v>
      </c>
      <c r="C2049" t="str">
        <f>IFERROR(__xludf.DUMMYFUNCTION("GOOGLETRANSLATE(B2049, ""fr"", ""en"")"),"The article Very nice sneakers line with my expectations. delivery ok")</f>
        <v>The article Very nice sneakers line with my expectations. delivery ok</v>
      </c>
    </row>
    <row r="2050">
      <c r="A2050" s="1">
        <v>5.0</v>
      </c>
      <c r="B2050" s="1" t="s">
        <v>2038</v>
      </c>
      <c r="C2050" t="str">
        <f>IFERROR(__xludf.DUMMYFUNCTION("GOOGLETRANSLATE(B2050, ""fr"", ""en"")"),"Super offers an attractive price Not used but they seem to me very strong, there for a while and in addition to a challenging question price competition. I advise.")</f>
        <v>Super offers an attractive price Not used but they seem to me very strong, there for a while and in addition to a challenging question price competition. I advise.</v>
      </c>
    </row>
    <row r="2051">
      <c r="A2051" s="1">
        <v>5.0</v>
      </c>
      <c r="B2051" s="1" t="s">
        <v>2039</v>
      </c>
      <c r="C2051" t="str">
        <f>IFERROR(__xludf.DUMMYFUNCTION("GOOGLETRANSLATE(B2051, ""fr"", ""en"")"),"Very good product great product conforms to the description Not disappointed by the Puma brand that keeps its quality")</f>
        <v>Very good product great product conforms to the description Not disappointed by the Puma brand that keeps its quality</v>
      </c>
    </row>
    <row r="2052">
      <c r="A2052" s="1">
        <v>5.0</v>
      </c>
      <c r="B2052" s="1" t="s">
        <v>2040</v>
      </c>
      <c r="C2052" t="str">
        <f>IFERROR(__xludf.DUMMYFUNCTION("GOOGLETRANSLATE(B2052, ""fr"", ""en"")"),"Good Very useful in case of overflow layer on the sheets, if cold or gastrointestinal well to eliminate viruses ....")</f>
        <v>Good Very useful in case of overflow layer on the sheets, if cold or gastrointestinal well to eliminate viruses ....</v>
      </c>
    </row>
    <row r="2053">
      <c r="A2053" s="1">
        <v>5.0</v>
      </c>
      <c r="B2053" s="1" t="s">
        <v>2041</v>
      </c>
      <c r="C2053" t="str">
        <f>IFERROR(__xludf.DUMMYFUNCTION("GOOGLETRANSLATE(B2053, ""fr"", ""en"")"),"Nice product I buy this mic for my son who uses it very often on a suspended boom arm. It is good quality with a visual rendering great. I recommend this microphone, Classy")</f>
        <v>Nice product I buy this mic for my son who uses it very often on a suspended boom arm. It is good quality with a visual rendering great. I recommend this microphone, Classy</v>
      </c>
    </row>
    <row r="2054">
      <c r="A2054" s="1">
        <v>5.0</v>
      </c>
      <c r="B2054" s="1" t="s">
        <v>2042</v>
      </c>
      <c r="C2054" t="str">
        <f>IFERROR(__xludf.DUMMYFUNCTION("GOOGLETRANSLATE(B2054, ""fr"", ""en"")"),"Very good shoes my daughter love them!")</f>
        <v>Very good shoes my daughter love them!</v>
      </c>
    </row>
    <row r="2055">
      <c r="A2055" s="1">
        <v>5.0</v>
      </c>
      <c r="B2055" s="1" t="s">
        <v>2043</v>
      </c>
      <c r="C2055" t="str">
        <f>IFERROR(__xludf.DUMMYFUNCTION("GOOGLETRANSLATE(B2055, ""fr"", ""en"")"),"Superb Really suprise very good, wearable and pretty on the dial has a gradient color that is not a reflection as one might think in the photo, my son the love, more well received and quickly packed guarantee")</f>
        <v>Superb Really suprise very good, wearable and pretty on the dial has a gradient color that is not a reflection as one might think in the photo, my son the love, more well received and quickly packed guarantee</v>
      </c>
    </row>
    <row r="2056">
      <c r="A2056" s="1">
        <v>2.0</v>
      </c>
      <c r="B2056" s="1" t="s">
        <v>2044</v>
      </c>
      <c r="C2056" t="str">
        <f>IFERROR(__xludf.DUMMYFUNCTION("GOOGLETRANSLATE(B2056, ""fr"", ""en"")"),"Too little too small but c okay I'll offer")</f>
        <v>Too little too small but c okay I'll offer</v>
      </c>
    </row>
    <row r="2057">
      <c r="A2057" s="1">
        <v>1.0</v>
      </c>
      <c r="B2057" s="1" t="s">
        <v>2045</v>
      </c>
      <c r="C2057" t="str">
        <f>IFERROR(__xludf.DUMMYFUNCTION("GOOGLETRANSLATE(B2057, ""fr"", ""en"")"),"Scam !! Can not put the safety chain. Very disappointed. Do not take for pandora bracelet")</f>
        <v>Scam !! Can not put the safety chain. Very disappointed. Do not take for pandora bracelet</v>
      </c>
    </row>
    <row r="2058">
      <c r="A2058" s="1">
        <v>1.0</v>
      </c>
      <c r="B2058" s="1" t="s">
        <v>2046</v>
      </c>
      <c r="C2058" t="str">
        <f>IFERROR(__xludf.DUMMYFUNCTION("GOOGLETRANSLATE(B2058, ""fr"", ""en"")"),"Irrelevant cable with 2 bullets that makes cable manufactured in a hurry I took the first one that had that teach m")</f>
        <v>Irrelevant cable with 2 bullets that makes cable manufactured in a hurry I took the first one that had that teach m</v>
      </c>
    </row>
    <row r="2059">
      <c r="A2059" s="1">
        <v>3.0</v>
      </c>
      <c r="B2059" s="1" t="s">
        <v>2047</v>
      </c>
      <c r="C2059" t="str">
        <f>IFERROR(__xludf.DUMMYFUNCTION("GOOGLETRANSLATE(B2059, ""fr"", ""en"")"),"Solid is a bit small. But it is solid.")</f>
        <v>Solid is a bit small. But it is solid.</v>
      </c>
    </row>
    <row r="2060">
      <c r="A2060" s="1">
        <v>4.0</v>
      </c>
      <c r="B2060" s="1" t="s">
        <v>2048</v>
      </c>
      <c r="C2060" t="str">
        <f>IFERROR(__xludf.DUMMYFUNCTION("GOOGLETRANSLATE(B2060, ""fr"", ""en"")"),"Pretty headbands. Very pretty and well-encompassing as I like. The colors are consistent with the picture. The downside is that they cil relax during the day.")</f>
        <v>Pretty headbands. Very pretty and well-encompassing as I like. The colors are consistent with the picture. The downside is that they cil relax during the day.</v>
      </c>
    </row>
    <row r="2061">
      <c r="A2061" s="1">
        <v>4.0</v>
      </c>
      <c r="B2061" s="1" t="s">
        <v>2049</v>
      </c>
      <c r="C2061" t="str">
        <f>IFERROR(__xludf.DUMMYFUNCTION("GOOGLETRANSLATE(B2061, ""fr"", ""en"")"),"Please note the size !!! Good product, good finishes ... however please take at least 2 sizes above especially if like me you had a strong kick ... I just send my pair of 44 of the 45 when I put on the 43 usually ... I hope it will go ....")</f>
        <v>Please note the size !!! Good product, good finishes ... however please take at least 2 sizes above especially if like me you had a strong kick ... I just send my pair of 44 of the 45 when I put on the 43 usually ... I hope it will go ....</v>
      </c>
    </row>
    <row r="2062">
      <c r="A2062" s="1">
        <v>4.0</v>
      </c>
      <c r="B2062" s="1" t="s">
        <v>2050</v>
      </c>
      <c r="C2062" t="str">
        <f>IFERROR(__xludf.DUMMYFUNCTION("GOOGLETRANSLATE(B2062, ""fr"", ""en"")"),"Grid any bread A good grid Adjustments Temp affluent To order")</f>
        <v>Grid any bread A good grid Adjustments Temp affluent To order</v>
      </c>
    </row>
    <row r="2063">
      <c r="A2063" s="1">
        <v>4.0</v>
      </c>
      <c r="B2063" s="1" t="s">
        <v>2051</v>
      </c>
      <c r="C2063" t="str">
        <f>IFERROR(__xludf.DUMMYFUNCTION("GOOGLETRANSLATE(B2063, ""fr"", ""en"")"),"Good product quality. Shoes, I'll use them to walk!")</f>
        <v>Good product quality. Shoes, I'll use them to walk!</v>
      </c>
    </row>
    <row r="2064">
      <c r="A2064" s="1">
        <v>5.0</v>
      </c>
      <c r="B2064" s="1" t="s">
        <v>2052</v>
      </c>
      <c r="C2064" t="str">
        <f>IFERROR(__xludf.DUMMYFUNCTION("GOOGLETRANSLATE(B2064, ""fr"", ""en"")"),"t this sweatshirt is very well suited for my work is hot with his hood and having washed and rewashed, the fabric did not move I'm happy with my purchase")</f>
        <v>t this sweatshirt is very well suited for my work is hot with his hood and having washed and rewashed, the fabric did not move I'm happy with my purchase</v>
      </c>
    </row>
    <row r="2065">
      <c r="A2065" s="1">
        <v>5.0</v>
      </c>
      <c r="B2065" s="1" t="s">
        <v>2053</v>
      </c>
      <c r="C2065" t="str">
        <f>IFERROR(__xludf.DUMMYFUNCTION("GOOGLETRANSLATE(B2065, ""fr"", ""en"")"),"Very Good Very nice watch! And long warranty")</f>
        <v>Very Good Very nice watch! And long warranty</v>
      </c>
    </row>
    <row r="2066">
      <c r="A2066" s="1">
        <v>5.0</v>
      </c>
      <c r="B2066" s="1" t="s">
        <v>2054</v>
      </c>
      <c r="C2066" t="str">
        <f>IFERROR(__xludf.DUMMYFUNCTION("GOOGLETRANSLATE(B2066, ""fr"", ""en"")"),"Perfect converse, cut much perfect for my 5 year old daughter. Prune correctly, rather large. Not easy to put to kindergarten.")</f>
        <v>Perfect converse, cut much perfect for my 5 year old daughter. Prune correctly, rather large. Not easy to put to kindergarten.</v>
      </c>
    </row>
    <row r="2067">
      <c r="A2067" s="1">
        <v>5.0</v>
      </c>
      <c r="B2067" s="1" t="s">
        <v>2055</v>
      </c>
      <c r="C2067" t="str">
        <f>IFERROR(__xludf.DUMMYFUNCTION("GOOGLETRANSLATE(B2067, ""fr"", ""en"")"),"Comfortable great, I've never had blisters, this is the first time I feel so good in a running shoe")</f>
        <v>Comfortable great, I've never had blisters, this is the first time I feel so good in a running shoe</v>
      </c>
    </row>
    <row r="2068">
      <c r="A2068" s="1">
        <v>5.0</v>
      </c>
      <c r="B2068" s="1" t="s">
        <v>2056</v>
      </c>
      <c r="C2068" t="str">
        <f>IFERROR(__xludf.DUMMYFUNCTION("GOOGLETRANSLATE(B2068, ""fr"", ""en"")"),"Indispensable Fast delivery in good condition. Practice hand the number of pod even when baby is small and drinks several times the milk small dose. Small flat on the clip caps which tend to break but nothing prevents the use of pods. In case of loss of a"&amp;" cap, bottle caps hold very well.")</f>
        <v>Indispensable Fast delivery in good condition. Practice hand the number of pod even when baby is small and drinks several times the milk small dose. Small flat on the clip caps which tend to break but nothing prevents the use of pods. In case of loss of a cap, bottle caps hold very well.</v>
      </c>
    </row>
    <row r="2069">
      <c r="A2069" s="1">
        <v>5.0</v>
      </c>
      <c r="B2069" s="1" t="s">
        <v>2057</v>
      </c>
      <c r="C2069" t="str">
        <f>IFERROR(__xludf.DUMMYFUNCTION("GOOGLETRANSLATE(B2069, ""fr"", ""en"")"),"Perfect Works well")</f>
        <v>Perfect Works well</v>
      </c>
    </row>
    <row r="2070">
      <c r="A2070" s="1">
        <v>5.0</v>
      </c>
      <c r="B2070" s="1" t="s">
        <v>2058</v>
      </c>
      <c r="C2070" t="str">
        <f>IFERROR(__xludf.DUMMYFUNCTION("GOOGLETRANSLATE(B2070, ""fr"", ""en"")"),"Perfect handy case to keep them tidy, color choices They are in line with my expectations and good qualities I recommend")</f>
        <v>Perfect handy case to keep them tidy, color choices They are in line with my expectations and good qualities I recommend</v>
      </c>
    </row>
    <row r="2071">
      <c r="A2071" s="1">
        <v>5.0</v>
      </c>
      <c r="B2071" s="1" t="s">
        <v>2059</v>
      </c>
      <c r="C2071" t="str">
        <f>IFERROR(__xludf.DUMMYFUNCTION("GOOGLETRANSLATE(B2071, ""fr"", ""en"")"),"Meanwhile practice to travel! It's better than a handbag! Especially for a walk in the big cities!")</f>
        <v>Meanwhile practice to travel! It's better than a handbag! Especially for a walk in the big cities!</v>
      </c>
    </row>
    <row r="2072">
      <c r="A2072" s="1">
        <v>5.0</v>
      </c>
      <c r="B2072" s="1" t="s">
        <v>2060</v>
      </c>
      <c r="C2072" t="str">
        <f>IFERROR(__xludf.DUMMYFUNCTION("GOOGLETRANSLATE(B2072, ""fr"", ""en"")"),"Men's watch with backlight Rugged and stylish worn every day for almost a year and no problems or signs of deterioration I am very satisfied with my purchase.")</f>
        <v>Men's watch with backlight Rugged and stylish worn every day for almost a year and no problems or signs of deterioration I am very satisfied with my purchase.</v>
      </c>
    </row>
    <row r="2073">
      <c r="A2073" s="1">
        <v>5.0</v>
      </c>
      <c r="B2073" s="1" t="s">
        <v>2061</v>
      </c>
      <c r="C2073" t="str">
        <f>IFERROR(__xludf.DUMMYFUNCTION("GOOGLETRANSLATE(B2073, ""fr"", ""en"")"),"Quality good value for money. 😉 Very beautiful these earrings for the birthday of my daughter (5 years) they all mimi it rained him 😉")</f>
        <v>Quality good value for money. 😉 Very beautiful these earrings for the birthday of my daughter (5 years) they all mimi it rained him 😉</v>
      </c>
    </row>
    <row r="2074">
      <c r="A2074" s="1">
        <v>5.0</v>
      </c>
      <c r="B2074" s="1" t="s">
        <v>2062</v>
      </c>
      <c r="C2074" t="str">
        <f>IFERROR(__xludf.DUMMYFUNCTION("GOOGLETRANSLATE(B2074, ""fr"", ""en"")"),"Perfect Perfect! Very nice and light! Thank you")</f>
        <v>Perfect Perfect! Very nice and light! Thank you</v>
      </c>
    </row>
    <row r="2075">
      <c r="A2075" s="1">
        <v>5.0</v>
      </c>
      <c r="B2075" s="1" t="s">
        <v>2063</v>
      </c>
      <c r="C2075" t="str">
        <f>IFERROR(__xludf.DUMMYFUNCTION("GOOGLETRANSLATE(B2075, ""fr"", ""en"")"),"small, precise and sensitive, do not blow it is false far !!! used for powders, tare allows multiple containers.")</f>
        <v>small, precise and sensitive, do not blow it is false far !!! used for powders, tare allows multiple containers.</v>
      </c>
    </row>
    <row r="2076">
      <c r="A2076" s="1">
        <v>5.0</v>
      </c>
      <c r="B2076" s="1" t="s">
        <v>2064</v>
      </c>
      <c r="C2076" t="str">
        <f>IFERROR(__xludf.DUMMYFUNCTION("GOOGLETRANSLATE(B2076, ""fr"", ""en"")"),"Ideal for helping to duty Really perfect for my little niece.")</f>
        <v>Ideal for helping to duty Really perfect for my little niece.</v>
      </c>
    </row>
    <row r="2077">
      <c r="A2077" s="1">
        <v>5.0</v>
      </c>
      <c r="B2077" s="1" t="s">
        <v>2065</v>
      </c>
      <c r="C2077" t="str">
        <f>IFERROR(__xludf.DUMMYFUNCTION("GOOGLETRANSLATE(B2077, ""fr"", ""en"")"),"Lightweight and comfortable Used for an afternoon of shopping, top comfort. I recommend to all fans of shoes slippers. It feels like home.")</f>
        <v>Lightweight and comfortable Used for an afternoon of shopping, top comfort. I recommend to all fans of shoes slippers. It feels like home.</v>
      </c>
    </row>
    <row r="2078">
      <c r="A2078" s="1">
        <v>5.0</v>
      </c>
      <c r="B2078" s="1" t="s">
        <v>2066</v>
      </c>
      <c r="C2078" t="str">
        <f>IFERROR(__xludf.DUMMYFUNCTION("GOOGLETRANSLATE(B2078, ""fr"", ""en"")"),"Delivery and fast. Very good product.")</f>
        <v>Delivery and fast. Very good product.</v>
      </c>
    </row>
    <row r="2079">
      <c r="A2079" s="1">
        <v>2.0</v>
      </c>
      <c r="B2079" s="1" t="s">
        <v>2067</v>
      </c>
      <c r="C2079" t="str">
        <f>IFERROR(__xludf.DUMMYFUNCTION("GOOGLETRANSLATE(B2079, ""fr"", ""en"")"),"Colors faded I put this note as 5 of the 10 foam discolored: the color lighter foam has rubbed off on others. If foams are correct.")</f>
        <v>Colors faded I put this note as 5 of the 10 foam discolored: the color lighter foam has rubbed off on others. If foams are correct.</v>
      </c>
    </row>
    <row r="2080">
      <c r="A2080" s="1">
        <v>1.0</v>
      </c>
      <c r="B2080" s="1" t="s">
        <v>2068</v>
      </c>
      <c r="C2080" t="str">
        <f>IFERROR(__xludf.DUMMYFUNCTION("GOOGLETRANSLATE(B2080, ""fr"", ""en"")"),"For high school Hello calculator is well presented but for the price it should be tactile. It's a pity more the model is imposed by the school")</f>
        <v>For high school Hello calculator is well presented but for the price it should be tactile. It's a pity more the model is imposed by the school</v>
      </c>
    </row>
    <row r="2081">
      <c r="A2081" s="1">
        <v>3.0</v>
      </c>
      <c r="B2081" s="1" t="s">
        <v>2069</v>
      </c>
      <c r="C2081" t="str">
        <f>IFERROR(__xludf.DUMMYFUNCTION("GOOGLETRANSLATE(B2081, ""fr"", ""en"")"),"Problem loading problem. Do not care if TV off?")</f>
        <v>Problem loading problem. Do not care if TV off?</v>
      </c>
    </row>
    <row r="2082">
      <c r="A2082" s="1">
        <v>3.0</v>
      </c>
      <c r="B2082" s="1" t="s">
        <v>2070</v>
      </c>
      <c r="C2082" t="str">
        <f>IFERROR(__xludf.DUMMYFUNCTION("GOOGLETRANSLATE(B2082, ""fr"", ""en"")"),"basic very fine fabric")</f>
        <v>basic very fine fabric</v>
      </c>
    </row>
    <row r="2083">
      <c r="A2083" s="1">
        <v>4.0</v>
      </c>
      <c r="B2083" s="1" t="s">
        <v>2071</v>
      </c>
      <c r="C2083" t="str">
        <f>IFERROR(__xludf.DUMMYFUNCTION("GOOGLETRANSLATE(B2083, ""fr"", ""en"")"),"Nice little pendant The pendant is nice and well presented but do not rely too much on the small chain provided a bit thin and weak if c is for a child.")</f>
        <v>Nice little pendant The pendant is nice and well presented but do not rely too much on the small chain provided a bit thin and weak if c is for a child.</v>
      </c>
    </row>
    <row r="2084">
      <c r="A2084" s="1">
        <v>4.0</v>
      </c>
      <c r="B2084" s="1" t="s">
        <v>2072</v>
      </c>
      <c r="C2084" t="str">
        <f>IFERROR(__xludf.DUMMYFUNCTION("GOOGLETRANSLATE(B2084, ""fr"", ""en"")"),"Beware the large size because size They are pretty, unfortunately for me I took my usual size and not half size smaller so they are much too large even with two pairs of insoles.")</f>
        <v>Beware the large size because size They are pretty, unfortunately for me I took my usual size and not half size smaller so they are much too large even with two pairs of insoles.</v>
      </c>
    </row>
    <row r="2085">
      <c r="A2085" s="1">
        <v>4.0</v>
      </c>
      <c r="B2085" s="1" t="s">
        <v>2073</v>
      </c>
      <c r="C2085" t="str">
        <f>IFERROR(__xludf.DUMMYFUNCTION("GOOGLETRANSLATE(B2085, ""fr"", ""en"")"),"Simple and effective Good product!")</f>
        <v>Simple and effective Good product!</v>
      </c>
    </row>
    <row r="2086">
      <c r="A2086" s="1">
        <v>4.0</v>
      </c>
      <c r="B2086" s="1" t="s">
        <v>2074</v>
      </c>
      <c r="C2086" t="str">
        <f>IFERROR(__xludf.DUMMYFUNCTION("GOOGLETRANSLATE(B2086, ""fr"", ""en"")"),"It works effectively to relax a little and slightly alleviate some pain.")</f>
        <v>It works effectively to relax a little and slightly alleviate some pain.</v>
      </c>
    </row>
    <row r="2087">
      <c r="A2087" s="1">
        <v>5.0</v>
      </c>
      <c r="B2087" s="1" t="s">
        <v>2075</v>
      </c>
      <c r="C2087" t="str">
        <f>IFERROR(__xludf.DUMMYFUNCTION("GOOGLETRANSLATE(B2087, ""fr"", ""en"")"),"conform a little watch cool!")</f>
        <v>conform a little watch cool!</v>
      </c>
    </row>
    <row r="2088">
      <c r="A2088" s="1">
        <v>5.0</v>
      </c>
      <c r="B2088" s="1" t="s">
        <v>2076</v>
      </c>
      <c r="C2088" t="str">
        <f>IFERROR(__xludf.DUMMYFUNCTION("GOOGLETRANSLATE(B2088, ""fr"", ""en"")"),"Very large very functional Very good product, my husband is very satisfied with his bag")</f>
        <v>Very large very functional Very good product, my husband is very satisfied with his bag</v>
      </c>
    </row>
    <row r="2089">
      <c r="A2089" s="1">
        <v>5.0</v>
      </c>
      <c r="B2089" s="1" t="s">
        <v>2077</v>
      </c>
      <c r="C2089" t="str">
        <f>IFERROR(__xludf.DUMMYFUNCTION("GOOGLETRANSLATE(B2089, ""fr"", ""en"")"),"Effective I used that to my car. On the first morning, more than windows from misting")</f>
        <v>Effective I used that to my car. On the first morning, more than windows from misting</v>
      </c>
    </row>
    <row r="2090">
      <c r="A2090" s="1">
        <v>5.0</v>
      </c>
      <c r="B2090" s="1" t="s">
        <v>2078</v>
      </c>
      <c r="C2090" t="str">
        <f>IFERROR(__xludf.DUMMYFUNCTION("GOOGLETRANSLATE(B2090, ""fr"", ""en"")"),"Fleece Booties France. I took these shoes for my little boy of 9 years. They are beautiful very comfortable material is beautiful and they are hot. They are quite slippery in the first time. But my son loves them. Thank you and vivid Rondinaud")</f>
        <v>Fleece Booties France. I took these shoes for my little boy of 9 years. They are beautiful very comfortable material is beautiful and they are hot. They are quite slippery in the first time. But my son loves them. Thank you and vivid Rondinaud</v>
      </c>
    </row>
    <row r="2091">
      <c r="A2091" s="1">
        <v>5.0</v>
      </c>
      <c r="B2091" s="1" t="s">
        <v>2079</v>
      </c>
      <c r="C2091" t="str">
        <f>IFERROR(__xludf.DUMMYFUNCTION("GOOGLETRANSLATE(B2091, ""fr"", ""en"")"),"Good quality ! good quality cable - no problem.")</f>
        <v>Good quality ! good quality cable - no problem.</v>
      </c>
    </row>
    <row r="2092">
      <c r="A2092" s="1">
        <v>5.0</v>
      </c>
      <c r="B2092" s="1" t="s">
        <v>2080</v>
      </c>
      <c r="C2092" t="str">
        <f>IFERROR(__xludf.DUMMYFUNCTION("GOOGLETRANSLATE(B2092, ""fr"", ""en"")"),"Perfect !!! My food and my new graphics card could not function without this adapter and the result is up !! For some € I have avoided buying a new power supply My card is an Asus GeForce GTX 1070 Ti Cerberus and everything works perfectly")</f>
        <v>Perfect !!! My food and my new graphics card could not function without this adapter and the result is up !! For some € I have avoided buying a new power supply My card is an Asus GeForce GTX 1070 Ti Cerberus and everything works perfectly</v>
      </c>
    </row>
    <row r="2093">
      <c r="A2093" s="1">
        <v>5.0</v>
      </c>
      <c r="B2093" s="1" t="s">
        <v>2081</v>
      </c>
      <c r="C2093" t="str">
        <f>IFERROR(__xludf.DUMMYFUNCTION("GOOGLETRANSLATE(B2093, ""fr"", ""en"")"),"product quality good product. Ideal for baby bottles doddie")</f>
        <v>product quality good product. Ideal for baby bottles doddie</v>
      </c>
    </row>
    <row r="2094">
      <c r="A2094" s="1">
        <v>5.0</v>
      </c>
      <c r="B2094" s="1" t="s">
        <v>2082</v>
      </c>
      <c r="C2094" t="str">
        <f>IFERROR(__xludf.DUMMYFUNCTION("GOOGLETRANSLATE(B2094, ""fr"", ""en"")"),"Practical idea I love these papers! They allow you to do everything and anything, stickers, labels, the only limit is your imagination")</f>
        <v>Practical idea I love these papers! They allow you to do everything and anything, stickers, labels, the only limit is your imagination</v>
      </c>
    </row>
    <row r="2095">
      <c r="A2095" s="1">
        <v>5.0</v>
      </c>
      <c r="B2095" s="1" t="s">
        <v>2083</v>
      </c>
      <c r="C2095" t="str">
        <f>IFERROR(__xludf.DUMMYFUNCTION("GOOGLETRANSLATE(B2095, ""fr"", ""en"")"),"Very satisfied &lt;div id = ""video-block-R1UZMRT0G3RM2U"" class = ""a-section-spacing-small in-spacing-top mini video-block""&gt; &lt;div tabindex = ""0"" class = ""airy airy-svg vmin-unsupported airy-skin-beacon ""style ="" background-color: rgb (0, 0, 0); posit"&amp;"ion: relative; width: 100%; height: 100%; font-size: 0px; overflow: hidden; outline : none; ""&gt; &lt;div class ="" airy-renderer-container ""style ="" position: relative; height: 100%; width: 100%; ""&gt; &lt;video id ="" 15 ""preload ="" auto ""src ="" https://ima"&amp;"ges-eu.ssl-images-amazon.com/images/I/91S87hhqNnS.mp4 ""style ="" position: absolute; left: 0px; top: 0px; overflow: hidden; height: 1px; width: 1px ; ""&gt; &lt;/ video&gt; &lt;/ div&gt; &lt;div id ="" airy-slate-preload ""style ="" background-color: rgb (0, 0, 0); backgr"&amp;"ound-image: url (&amp; quot; https: // images-eu.ssl-images-amazon.com/images/I/81o-BceE5YS.png&amp;quot;); background-size: contain; background-position: center center; background-repeat: no-repeat; position: absolute; top : 0px; left: 0px; visibility: visible; "&amp;"width: 100%; height: 100% ""&gt; &lt;/ div&gt; &lt;iframe scrollin g = ""no"" frameborder = ""0"" src = ""about: blank"" style = ""display: none;""&gt; &lt;/ iframe&gt; &lt;div tabindex = ""- 1"" class = ""airy-controls-container"" style = "" opacity: 0; visibility: hidden; ""&gt; "&amp;"&lt;div tabindex ="" - 1 ""class ="" airy-screen-size-toggle airy-fullscreen ""&gt; &lt;/ div&gt; &lt;div tabindex ="" - 1 ""class ="" airy-container-bottom "" &gt; &lt;div tabindex = ""- 1"" class = ""airy-track-bar spacer-left"" style = ""width: 11px;""&gt; &lt;/ div&gt; &lt;div tabind"&amp;"ex = ""- 1"" class = ""airy-play- toggle airy-play ""style ="" width: 12px; margin-right: 12px; ""&gt; &lt;/ div&gt; &lt;div tabindex ="" - 1 ""class ="" airy-audio-elements ""style ="" float: right; width: 34px; ""&gt; &lt;div tabindex ="" - 1 ""class ="" airy-audio-toggl"&amp;"e airy-on ""&gt; &lt;/ div&gt; &lt;div tabindex ="" - 1 ""class ="" airy-audio-container ""style = ""opacity: 0; visibility: hidden; ""&gt; &lt;div tabindex ="" - 1 ""class ="" airy-audio-track-bar ""style ="" height: 80%; ""&gt; &lt;div tabindex ="" - 1 ""class ="" airy-audio- "&amp;"scrubber bar ""style ="" height: 85% ""&gt; &lt;/ div&gt; &lt;div tabindex ="" - 1 ""class ="" airy-audio-scrubber ""style ="" height: 12px; bottom: 85% ""&gt; &lt;/ div&gt; &lt;/ div&gt; &lt;/ div&gt; &lt;/ div&gt; &lt;div tabindex ="" - 1 ""class ="" airy-duration-label ""style ="" float: right"&amp;"; width: 26px; margin-right: 4px; text-align: center; ""&gt; 0:00 &lt;/ div&gt; &lt;div tabindex ="" - 1 ""class ="" airy-track-bar spacer-right ""style ="" float: right; width: 11px; ""&gt; &lt;/ div&gt; &lt;div tabindex ="" - 1 ""class ="" airy-track-bar-container ""style ="" "&amp;"margin-left: 35px; margin-right: 75px; ""&gt; &lt;div tabindex ="" - 1 ""class ="" airy-airy-track-bar vertical-centering-table ""&gt; &lt;div tabindex ="" - 1 ""class ="" airy-vertical-centering- table-cell ""&gt; &lt;div tabindex ="" - 1 ""class ="" airy-track-bar elemen"&amp;"ts ""&gt; &lt;div tabindex ="" - 1 ""class ="" airy-progress bar ""&gt; &lt;/ div&gt; &lt;div tabindex = ""- 1"" class = ""airy-scrubber bar""&gt; &lt;/ div&gt; &lt;div tabindex = ""- 1"" class = ""airy-scrubber""&gt; &lt;div tabindex = ""- 1"" class = ""airy-scrubber- icon ""&gt; &lt;/ div&gt; &lt;div"&amp;" tabindex ="" - 1 ""class ="" airy-adjusted-aui-tooltip ""style ="" opacity: 0; visibility: hidden; ""&gt; &lt;div tabindex ="" - 1 ""class ="" airy-adjusted-aui-tooltip-inner ""&gt; &lt;div tabindex ="" - 1 ""class ="" airy-current-time-label ""&gt; 0 00 &lt;/ div&gt; &lt;/ div"&amp;"&gt; &lt;div tabindex = ""- 1"" class = ""airy-adjusted-aui-arrow-border""&gt; &lt;div tabindex = ""- 1"" class = ""airy-adjusted-aui-arrow"" &gt; &lt;/ div&gt; &lt;/ div&gt; &lt;/ div&gt; &lt;/ div&gt; &lt;/ div&gt; &lt;/ div&gt; &lt;/ div&gt; &lt;/ div&gt; &lt;/ div&gt; &lt;/ div&gt; &lt;div tabindex = ""- 1"" class = ""airy-airy"&amp;"-age-gate course airy-vertical-centering table-airy-dialog"" style = ""opacity: 0; visibility: hidden; ""&gt; &lt;div tabindex ="" - 1 ""class ="" airy-age-gate-vertical-centering-table-cell airy-vertical-centering-table-cell ""&gt; &lt;div tabindex ="" - 1 ""class ="&amp;" ""airy-vertical-centering-wrapper airy-age-gate-elements-wrapper""&gt; &lt;div tabindex = ""- 1"" class = ""airy-age-gate-elements airy-dialog-elements""&gt; &lt;div tabindex = "" -1 ""class ="" airy-age-gate-prompt ""&gt; This video is not Intended for all audiences W"&amp;"hat time were you born &lt;/ div&gt; &lt;div tabindex =.?"" - 1 ""class ="" airy-age-gate -inputs airy-dialog-inner-elements ""&gt; &lt;select tabindex ="" - 1 ""class ="" airy-age-gate-month ""&gt; &lt;option value ="" 1 ""&gt; January &lt;/ option&gt; &lt;option value ="" 2 ""&gt; Februar"&amp;"y &lt;/ option&gt; &lt;option value ="" 3 ""&gt; March &lt;/ option&gt; &lt;option value ="" 4 ""&gt; April &lt;/ option&gt; &lt;option value ="" 5 ""&gt; May &lt;/ option&gt; &lt;option value = ""6""&gt; June &lt;/ option&gt; &lt;option value = ""7""&gt; July &lt;/ option&gt; &lt;option value = ""8""&gt; August &lt;/ option&gt; &lt;o"&amp;"ption value = ""9""&gt; September &lt;/ option&gt; &lt;option value = ""10""&gt; October &lt;/ option&gt; &lt;option value = ""11""&gt; November &lt;/ option&gt; &lt;option value = ""12""&gt; December &lt;/ option&gt; &lt;/ select&gt; &lt;select tabindex = ""- 1"" class = ""airy-age-gate-day""&gt; &lt;opti = One v"&amp;"alue ""1""&gt; 1 &lt;/ option&gt; &lt;option value = ""2""&gt; 2 &lt;/ option&gt; &lt;option value = ""3""&gt; 3 &lt;/ option&gt; &lt;option value = ""4""&gt; 4 &lt;/ option &gt; &lt;option value = ""5""&gt; 5 &lt;/ option&gt; &lt;option value = ""6""&gt; 6 &lt;/ option&gt; &lt;option value = ""7""&gt; 7 &lt;/ option&gt; &lt;option value"&amp;" = ""8""&gt; 8 &lt; / option&gt; &lt;option value = ""9""&gt; 9 &lt;/ option&gt; &lt;option value = ""10""&gt; 10 &lt;/ option&gt; &lt;option value = ""11""&gt; 11 &lt;/ option&gt; &lt;option value = ""12""&gt; 12 &lt;/ option&gt; &lt;option value = ""13""&gt; 13 &lt;/ option&gt; &lt;option value = ""14""&gt; 14 &lt;/ option&gt; &lt;opti"&amp;"on value = ""15""&gt; 15 &lt;/ option&gt; &lt;option value = ""16 ""&gt; 16 &lt;/ option&gt; &lt;option value ="" 17 ""&gt; 17 &lt;/ option&gt; &lt;option value ="" 18 ""&gt; 18 &lt;/ option&gt; &lt;option value ="" 19 ""&gt; 19 &lt;/ option&gt; &lt;option value = ""20""&gt; 20 &lt;/ option&gt; &lt;option value = ""21""&gt; 21 &lt;"&amp;"/ option&gt; &lt;option value = ""22""&gt; 22 &lt;/ option&gt; &lt;option value = ""23""&gt; 23 &lt;/ option&gt; &lt;option value = ""24""&gt; 24 &lt;/ option&gt; &lt;option value = ""25""&gt; 25 &lt;/ option&gt; &lt;option value = ""26""&gt; 26 &lt;/ option&gt; &lt;option value = ""27""&gt; 27 &lt;/ option&gt; &lt;option value = "&amp;"""28""&gt; 28 &lt;/ option&gt; &lt;option value = ""29""&gt; 29 &lt;/ option&gt; &lt;option value = ""30""&gt; 30 &lt;/ option&gt; &lt;option value = ""31""&gt; 31 &lt;/ option&gt; &lt;/ select&gt; &lt;select tabindex = ""- 1"" class = ""airy-age-gate-year""&gt; &lt;option value = ""2019""&gt; 2019 &lt;/ option&gt; &lt; optio"&amp;"n value = ""2018""&gt; 2018 &lt;/ option&gt; &lt;option value = ""2017""&gt; 2017 &lt;/ option&gt; &lt;option value = ""2016""&gt; ​​2016 &lt;/ option&gt; &lt;option value = ""2015""&gt; 2015 &lt;/ option &gt; &lt;option value = ""2014""&gt; 2014 &lt;/ option&gt; &lt;option value = ""2013""&gt; 2013 &lt;/ option&gt; &lt;optio"&amp;"n value = ""2012""&gt; 2012 &lt;/ option&gt; &lt;option value = ""2011""&gt; 2011 &lt; / option&gt; &lt;option value = ""2010""&gt; 2010 &lt;/ option&gt; &lt;option value = ""2009""&gt; 2009 &lt;/ option&gt; &lt;option value = ""2008""&gt; 2008 &lt;/ option&gt; &lt;option value = ""2007""&gt; 2007 &lt;/ option&gt; &lt;option "&amp;"value = ""2006""&gt; 2006 &lt;/ option&gt; &lt;option value = ""2005""&gt; 2005 &lt;/ option&gt; &lt;option value = ""2004""&gt; 2004 &lt;/ option&gt; &lt;option value = ""2003 ""&gt; 2003 &lt;/ option&gt; &lt;option value ="" 2002 ""&gt; 2002 &lt;/ option&gt; &lt;option value ="" 2001 ""&gt; 2001 &lt;/ option&gt; &lt;option "&amp;"value ="" 2000 ""&gt; 2000 &lt;/ option&gt; &lt;option value = ""1999""&gt; 1999 &lt;/ option&gt; &lt;option value = ""1998""&gt; 1998 &lt;/ option&gt; &lt;option value = ""1997""&gt; 1997 &lt;/ option&gt; &lt;option value = ""1996""&gt; 1996 &lt;/ option&gt; &lt;option value = ""1995""&gt; 1995 &lt;/ option&gt; &lt;option va"&amp;"lue = ""1994""&gt; 1994 &lt;/ option&gt; &lt;option value = ""1993""&gt; 1993 &lt;/ option&gt; &lt;option value = ""1992""&gt; 1992 &lt;/ option&gt; &lt;option value = ""1991""&gt; 1991 &lt;/ option&gt; &lt;option value = ""1990""&gt; 1990 &lt;/ option&gt; &lt;option value = "" 1989 ""&gt; 1989 &lt;/ option&gt; &lt;option val"&amp;"ue ="" 1988 ""&gt; 1988 &lt;/ option&gt; &lt;option value ="" 1987 ""&gt; 1987 &lt;/ option&gt; &lt;option value ="" 1986 ""&gt; 1986 &lt;/ option&gt; &lt;option value = ""1985""&gt; 1985 &lt;/ option&gt; &lt;option value = ""1984""&gt; 1984 &lt;/ option&gt; &lt;option value = ""1983""&gt; 1983 &lt;/ option&gt; &lt;option val"&amp;"ue = ""1982""&gt; 1982 &lt;/ option&gt; &lt; option value = ""1981""&gt; 1981 &lt;/ option&gt; &lt;option value = ""1980""&gt; 1980 &lt;/ option&gt; &lt;option value = ""1979""&gt; 1979 &lt;/ option&gt; &lt;option value = ""1978""&gt; 1978 &lt;/ option &gt; &lt;option value = ""1977""&gt; 1977 &lt;/ option&gt; &lt;option valu"&amp;"e = ""1976""&gt; 1976 &lt;/ option&gt; &lt;option value = ""1975""&gt; 1975 &lt;/ option&gt; &lt;option value = ""1974""&gt; 1974 &lt; / option&gt; &lt;option value = ""1973""&gt; 1973 &lt;/ option&gt; &lt;option value = ""1972""&gt; 1972 &lt;/ option&gt; &lt;option value = ""1971""&gt; 1971 &lt;/ option&gt; &lt;option value "&amp;"= ""1970""&gt; 1970 &lt;/ option&gt; &lt;option value = ""1969""&gt; 1969 &lt;/ option&gt; &lt;option value = ""1968""&gt; 1968 &lt;/ option&gt; &lt;option value = ""1967""&gt; 1967 &lt;/ option&gt; &lt;option value = ""1966 ""&gt; 1966 &lt;/ option&gt; &lt;option value ="" 1965 ""&gt; 1965 &lt;/ option&gt; &lt;option value ="&amp;""" 1964 ""&gt; 1964 &lt;/ option&gt; &lt;option value ="" 1963 ""&gt; 1963 &lt;/ option&gt; &lt;option value = ""1962""&gt; 1962 &lt;/ option&gt; &lt;option value = ""1961""&gt; 1961 &lt;/ option&gt; &lt;option value = ""1960""&gt; 1960 &lt;/ op tion&gt; &lt;option value = ""1959""&gt; 1959 &lt;/ option&gt; &lt;option value ="&amp;" ""1958""&gt; 1958 &lt;/ option&gt; &lt;option value = ""1957""&gt; 1957 &lt;/ option&gt; &lt;option value = ""1956""&gt; 1956 &lt;/ option&gt; &lt;option value = ""1955""&gt; 1955 &lt;/ option&gt; &lt;option value = ""1954""&gt; 1954 &lt;/ option&gt; &lt;option value = ""1953""&gt; 1953 &lt;/ option&gt; &lt;option value = """&amp;"1952"" &gt; 1952 &lt;/ option&gt; &lt;option value = ""1951""&gt; 1951 &lt;/ option&gt; &lt;option value = ""1950""&gt; 1950 &lt;/ option&gt; &lt;option value = ""1949""&gt; 1949 &lt;/ option&gt; &lt;option value = "" 1948 ""&gt; 1948 &lt;/ option&gt; &lt;option value ="" 1947 ""&gt; 1947 &lt;/ option&gt; &lt;option value ="""&amp;" 1946 ""&gt; 1946 &lt;/ option&gt; &lt;option value ="" 1945 ""&gt; 1945 &lt;/ option&gt; &lt;option value = ""1944""&gt; 1944 &lt;/ option&gt; &lt;option value = ""1943""&gt; 1943 &lt;/ option&gt; &lt;option value = ""1942""&gt; 1942 &lt;/ option&gt; &lt;option value = ""1941""&gt; 1941 &lt;/ option&gt; &lt; option value = "&amp;"""1940""&gt; 1940 &lt;/ option&gt; &lt;option value = ""1939""&gt; 1939 &lt;/ option&gt; &lt;option value = ""1938""&gt; 1938 &lt;/ option&gt; &lt;option value = ""1937""&gt; 1937 &lt;/ option &gt; &lt;option value = ""1936""&gt; 1936 &lt;/ option&gt; &lt;option value = ""1935""&gt; 1935 &lt;/ option&gt; &lt;option value = """&amp;"1934""&gt; 1934 &lt;/ option&gt; &lt;option value = ""1933""&gt; 1933 &lt; / option&gt; &lt;option value = ""1932""&gt; 1932 &lt;/ option&gt; &lt;option value = ""1931""&gt; 1931 &lt;/ option&gt; &lt;option v alue = ""1930""&gt; 1930 &lt;/ option&gt; &lt;option value = ""1929""&gt; 1929 &lt;/ option&gt; &lt;option value = ""1"&amp;"928""&gt; 1928 &lt;/ option&gt; &lt;option value = ""1927""&gt; 1927 &lt;/ option&gt; &lt;option value = ""1926""&gt; 1926 &lt;/ option&gt; &lt;option value = ""1925""&gt; 1925 &lt;/ option&gt; &lt;option value = ""1924""&gt; 1924 &lt;/ option&gt; &lt;option value = ""1923""&gt; 1923 &lt;/ option&gt; &lt;option value = ""1922"&amp;"""&gt; 1922 &lt;/ option&gt; &lt;option value = ""1921""&gt; 1921 &lt;/ option&gt; &lt;option value = ""1920""&gt; 1920 &lt;/ option&gt; &lt;option value = ""1919""&gt; 1919 &lt;/ option&gt; &lt;option value = ""1918""&gt; 1918 &lt;/ option&gt; &lt;option value = ""1917""&gt; 1917 &lt;/ option&gt; &lt;option value = ""1916""&gt;"&amp;" 1916 &lt;/ option&gt; &lt;option value = ""1915"" &gt; 1915 &lt;/ option&gt; &lt;option value = ""1914""&gt; 1914 &lt;/ option&gt; &lt;option value = ""1913""&gt; 1913 &lt;/ option&gt; &lt;option value = ""1912""&gt; 1912 &lt;/ option&gt; &lt;option value = "" 1911 ""&gt; 1911 &lt;/ option&gt; &lt;option value ="" 1910 """&amp;"&gt; 1910 &lt;/ option&gt; &lt;option value ="" 1909 ""&gt; 1909 &lt;/ option&gt; &lt;option value ="" 1908 ""&gt; 1908 &lt;/ option&gt; &lt;option value = ""1907""&gt; 1907 &lt;/ option&gt; &lt;option value = ""1906""&gt; 1906 &lt;/ option&gt; &lt;option value = ""1905""&gt; 1905 &lt;/ option&gt; &lt;option value = ""1904""&gt;"&amp;" 1904 &lt;/ option&gt; &lt; option value = ""1903""&gt; 1903 &lt;/ option&gt; &lt;option value = ""1902""&gt; 1902 &lt;/ option&gt; &lt;option value = ""1901""&gt; 19 01 &lt;/ option&gt; &lt;option value = ""1900""&gt; 1900 &lt;/ option&gt; &lt;/ select&gt; &lt;div tabindex = ""- 1"" class = ""airy-age-gate-submit ai"&amp;"ry-submit-button airy airy-submit- disabled ""&gt; Submit &lt;/ div&gt; &lt;/ div&gt; &lt;/ div&gt; &lt;/ div&gt; &lt;/ div&gt; &lt;/ div&gt; &lt;div tabindex ="" - 1 ""class ="" airy-install-flash-dialog airy-course airy -Vertical-centering-table dialog airy-airy-denied ""style ="" opacity: 0; v"&amp;"isibility: hidden; ""&gt; &lt;div tabindex ="" - 1 ""class ="" airy-install-flash-vertical-centering-table-cell airy-vertical-centering-table-cell ""&gt; &lt;div tabindex ="" - 1 ""class = ""airy-vertical-centering-wrapper airy-install-flash-elements-wrapper""&gt; &lt;div "&amp;"tabindex = ""- 1"" class = ""airy-install-flash-elements airy-dialog-elements""&gt; &lt;div tabindex = "" -1 ""class ="" airy-install-flash-prompt ""&gt; Adobe Flash Player is required to watch this video &lt;/ div&gt; &lt;div = tabindex."" - 1 ""class ="" airy-install-fla"&amp;"sh-button-wrapper airy -dialog-inner-elements ""&gt; &lt;div tabindex ="" - 1 ""class ="" airy-install-flash-button airy-button ""&gt; install Flash Player &lt;/ div&gt; &lt;/ div&gt; &lt;/ div&gt; &lt;/ div&gt; &lt;/ div&gt; &lt;/ div&gt; &lt;div tabindex = ""- 1"" class = ""airy-video-unsupported-dia"&amp;"log airy-course airy-vertical-centering table-airy-dialog airy-denied"" style = ""opacity: 0; visibility: hidden; ""&gt; &lt;div tabindex ="" - 1 ""class ="" airy-video-unsupported-vertical-centering-table-cell airy-vertical-centering-table-cell ""&gt; &lt;div tabind"&amp;"ex ="" - 1 ""class = ""airy-vertical-centering-wrapper airy-video-unsupported-elements-wrapper""&gt; &lt;div tabindex = ""- 1"" class = ""airy-video-unsupported-elements airy-dialog-elements""&gt; &lt;div tabindex = "" -1 ""class ="" airy-video-unsupported-prompt ""&gt;"&amp;" &lt;/ div&gt; &lt;/ div&gt; &lt;/ div&gt; &lt;/ div&gt; &lt;/ div&gt; &lt;div tabindex ="" - 1 ""class ="" airy-loading- spinner-stage airy-stage ""&gt; &lt;div tabindex ="" - 1 ""class ="" airy-loading-spinner-vertical-centering-table-cell airy-vertical-centering-table-cell ""&gt; &lt;div tabindex"&amp;" ="" - 1 ""class ="" airy-loading-spinner container airy-scalable-hint-container ""&gt; &lt;div tabindex ="" - 1 ""class ="" airy-loading-spinner-dummy airy-scalable-dummy ""&gt; &lt;/ div&gt; &lt; div tabindex = ""- 1"" class = ""airy-loading-spinner airy-hint"" style = "&amp;"""visibility: hidden;""&gt; &lt;/ div&gt; &lt;/ div&gt; &lt;/ div&gt; &lt;/ div&gt; &lt;div tabindex = ""- 1 ""class ="" airy-ads-screen-size-toggle airy-screen-size-toggle airy-fullscreen ""style ="" visibility: hidden; ""&gt; &lt;/ div&gt; &lt;div tabindex = ""-1"" class = ""airy-ad-prompt-cont"&amp;"ainer"" style = ""visibility: hidden;""&gt; &lt;div tabindex = ""- 1"" class = ""airy-ad-prompt-vertical-centering table-airy-vertical- centering-table ""&gt; &lt;div tabindex ="" - 1 ""class ="" airy-ad-prompt-vertical-centering-table-cell airy-vertical-centering-ta"&amp;"ble-cell ""&gt; &lt;div tabindex ="" - 1 ""class = ""airy-ad-prompt-label""&gt; &lt;/ div&gt; &lt;/ div&gt; &lt;/ div&gt; &lt;/ div&gt; &lt;div tabindex = ""- 1"" class = ""airy-ads-controls-container"" style = ""visibility: hidden; ""&gt; &lt;div tabindex ="" - 1 ""class ="" airy-ads-audio-toggl"&amp;"e airy-audio-toggle airy-on ""style ="" visibility: hidden; ""&gt; &lt;/ div&gt; &lt;div tabindex ="" - 1 ""class ="" airy-time-remaining-label-container ""&gt; &lt;div tabindex ="" - 1 ""class ="" airy-time-remaining-vertical-centering table-airy-vertical-centering-table "&amp;"""&gt; &lt;div tabindex = ""- 1"" class = ""airy-time-remaining-vertical-centering-table-cell airy-vertical-centering-table-cell""&gt; &lt;div tabindex = ""- 1"" class = ""airy-vertical-centering-wrapper airy-time-remaining-label-wrapper ""&gt; &lt;div tabindex ="" - 1 ""c"&amp;"lass ="" airy-time-remaining-label ""style ="" visibility: hidden; ""&gt; &lt;/ div&gt; &lt;div tabi ndex = ""- 1"" class = ""airy-ad-skip"" style = ""visibility: hidden;""&gt; &lt;/ div&gt; &lt;div tabindex = ""- 1"" class = ""airy-ad-end"" style = ""visibility: hidden; ""&gt; &lt;/ "&amp;"div&gt; &lt;/ div&gt; &lt;/ div&gt; &lt;/ div&gt; &lt;/ div&gt; &lt;div tabindex ="" - 1 ""class ="" airy-learn-more ""style ="" visibility: hidden; ""&gt; &lt;/ div&gt; &lt;/ div&gt; &lt;div tabindex = ""- 1"" class = ""airy-play-toggle-hint-stage airy-course airy-cursor""&gt; &lt;div tabindex = ""- 1"" cla"&amp;"ss = ""airy-play -toggle-hint-vertical-centering-table-cell airy-vertical-centering-table-cell airy-cursor ""&gt; &lt;div tabindex ="" - 1 ""class ="" airy-play-toggle-hint-container airy-scalable- hint-container ""&gt; &lt;div tabindex ="" - 1 ""class ="" airy-play-"&amp;"toggle-hint-dummy airy-scalable-dummy ""&gt; &lt;/ div&gt; &lt;div tabindex ="" - 1 ""class ="" airy-play -toggle airy-hint-hint-hint airy-play ""style ="" opacity: 1; visibility: visible; ""&gt; &lt;/ div&gt; &lt;/ div&gt; &lt;/ div&gt; &lt;/ div&gt; &lt;div tabindex ="" - 1 ""class ="" airy-rep"&amp;"lay-hint-stage airy-stage ""style ="" visibility: hidden ; ""&gt; &lt;div tabindex ="" - 1 ""class ="" airy-replay-hint-vertical-centering-table-cell airy-vertical-centering-table-cell airy-cursor ""&gt; &lt;div tabindex ="" - 1 ""class = ""airy-replay-hint-container"&amp;" airy-scalable-hint-container""&gt; &lt;div tabindex = ""- 1"" class = ""airy-replay-hint-dummy airy-scalable-dummy""&gt; &lt;/ div&gt; &lt;div tabindex = ""- 1"" class = ""airy-replay-hint airy-hint""&gt; &lt;/ div&gt; &lt;/ div&gt; &lt;/ div&gt; &lt;/ div&gt; &lt;div tabindex = ""- 1"" class = ""airy"&amp;"-autoplay-hint -stage airy-stage ""style ="" visibility: hidden; ""&gt; &lt;div tabindex ="" - 1 ""class ="" airy-autoplay-hint-vertical-centering-table-cell airy-vertical-centering-table-cell airy- cursor ""&gt; &lt;div tabindex ="" - 1 ""class ="" autoplay airy-air"&amp;"y-hint-container-scalable-hint-container ""&gt; &lt;div tabindex ="" - 1 ""class ="" airy-autoplay-hint-dummy airy- scalable-dummy ""&gt; &lt;/ div&gt; &lt;/ div&gt; &lt;/ div&gt; &lt;/ div&gt; &lt;/ div&gt; &lt;/ div&gt; &lt;input type ="" hidden ""name ="" ""value ="" https: // pictures-eu .ssl-image"&amp;" amazon.com / images / I / 91S87hhqNnS.mp4 ""Class ="" video-url ""&gt; &lt;input type ="" hidden ""name ="" ""value ="" https://images-eu.ssl-images-amazon.com/images/I/81o-BceE5YS.png ""class = ""video-slate-img-url""&gt; &amp; nbsp; The masseur is very easy to use."&amp;" It is very comfortable after the massage and promotes blood circulation. The massager can also be heated and massaged to relax. The intensity can be adjusted at any time. Profitable. Very satisfied.")</f>
        <v>Very satisfied &lt;div id = "video-block-R1UZMRT0G3RM2U" class = "a-section-spacing-small in-spacing-top mini video-block"&gt; &lt;div tabindex = "0" class = "airy airy-svg vmin-unsupported airy-skin-beacon "style =" background-color: rgb (0, 0, 0); position: relative; width: 100%; height: 100%; font-size: 0px; overflow: hidden; outline : none; "&gt; &lt;div class =" airy-renderer-container "style =" position: relative; height: 100%; width: 100%; "&gt; &lt;video id =" 15 "preload =" auto "src =" https://images-eu.ssl-images-amazon.com/images/I/91S87hhqNnS.mp4 "style =" position: absolute; left: 0px; top: 0px; overflow: hidden; height: 1px; width: 1px ; "&gt; &lt;/ video&gt; &lt;/ div&gt; &lt;div id =" airy-slate-preload "style =" background-color: rgb (0, 0, 0); background-image: url (&amp; quot; https: // images-eu.ssl-images-amazon.com/images/I/81o-BceE5YS.png&amp;quot;); background-size: contain; background-position: center center; background-repeat: no-repeat; position: absolute; top : 0px; left: 0px; visibility: visible; width: 100%; height: 100% "&gt; &lt;/ div&gt; &lt;iframe scrollin g = "no" frameborder = "0" src = "about: blank" style = "display: none;"&gt; &lt;/ iframe&gt; &lt;div tabindex = "- 1" class = "airy-controls-container" style = " opacity: 0; visibility: hidden; "&gt; &lt;div tabindex =" - 1 "class =" airy-screen-size-toggle airy-fullscreen "&gt; &lt;/ div&gt; &lt;div tabindex =" - 1 "class =" airy-container-bottom " &gt; &lt;div tabindex = "- 1" class = "airy-track-bar spacer-left" style = "width: 11px;"&gt; &lt;/ div&gt; &lt;div tabindex = "- 1" class = "airy-play- toggle airy-play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 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 spacer-right "style =" float: right; width: 11px; "&gt; &lt;/ div&gt; &lt;div tabindex =" - 1 "class =" airy-track-bar-container "style =" margin-left: 35px; margin-right: 75px; "&gt; &lt;div tabindex =" - 1 "class =" airy-airy-track-bar vertical-centering-table "&gt; &lt;div tabindex =" - 1 "class =" airy-vertical-centering- table-cell "&gt; &lt;div tabindex =" - 1 "class =" airy-track-bar elements "&gt; &lt;div tabindex =" - 1 "class =" airy-progress bar "&gt; &lt;/ div&gt; &lt;div tabindex = "- 1" class = "airy-scrubber 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"airy-airy-age-gate course airy-vertical-centering table-airy-dialog"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time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 One value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&lt;option value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&lt;option value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&lt;option value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airy-course airy -Vertical-centering-table dialog airy-airy-denied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 tabindex." - 1 "class =" airy-install-flash-button-wrapper airy -dialog-inner-elements "&gt; &lt;div tabindex =" - 1 "class =" airy-install-flash-button airy-button "&gt; install Flash Player &lt;/ div&gt; &lt;/ div&gt; &lt;/ div&gt; &lt;/ div&gt; &lt;/ div&gt; &lt;/ div&gt; &lt;div tabindex = "- 1" class = "airy-video-unsupported-dialog airy-course airy-vertical-centering table-airy-dialog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 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 airy-fullscreen "style =" visibility: hidden; "&gt; &lt;/ div&gt; &lt;div tabindex = "-1" class = "airy-ad-prompt-container" style = "visibility: hidden;"&gt; &lt;div tabindex = "- 1" class = "airy-ad-prompt-vertical-centering table-airy-vertical-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 table-airy-vertical-centering-table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airy-course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 airy-hint-hint-hint airy-play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pictures-eu .ssl-image amazon.com / images / I / 91S87hhqNnS.mp4 "Class =" video-url "&gt; &lt;input type =" hidden "name =" "value =" https://images-eu.ssl-images-amazon.com/images/I/81o-BceE5YS.png "class = "video-slate-img-url"&gt; &amp; nbsp; The masseur is very easy to use. It is very comfortable after the massage and promotes blood circulation. The massager can also be heated and massaged to relax. The intensity can be adjusted at any time. Profitable. Very satisfied.</v>
      </c>
    </row>
    <row r="2096">
      <c r="A2096" s="1">
        <v>5.0</v>
      </c>
      <c r="B2096" s="1" t="s">
        <v>2084</v>
      </c>
      <c r="C2096" t="str">
        <f>IFERROR(__xludf.DUMMYFUNCTION("GOOGLETRANSLATE(B2096, ""fr"", ""en"")"),"As expected the bag perfectly fits the description, it is normal size, not too big, not too small. We can put a shelf, reading light without a problem. Quality is at the rendezvous, and look very nice. Its recipient appreciated and leaves more!")</f>
        <v>As expected the bag perfectly fits the description, it is normal size, not too big, not too small. We can put a shelf, reading light without a problem. Quality is at the rendezvous, and look very nice. Its recipient appreciated and leaves more!</v>
      </c>
    </row>
    <row r="2097">
      <c r="A2097" s="1">
        <v>5.0</v>
      </c>
      <c r="B2097" s="1" t="s">
        <v>2085</v>
      </c>
      <c r="C2097" t="str">
        <f>IFERROR(__xludf.DUMMYFUNCTION("GOOGLETRANSLATE(B2097, ""fr"", ""en"")"),"beautiful awakening my teenage daughter is delighted with her alarm clock. very design")</f>
        <v>beautiful awakening my teenage daughter is delighted with her alarm clock. very design</v>
      </c>
    </row>
    <row r="2098">
      <c r="A2098" s="1">
        <v>5.0</v>
      </c>
      <c r="B2098" s="1" t="s">
        <v>2086</v>
      </c>
      <c r="C2098" t="str">
        <f>IFERROR(__xludf.DUMMYFUNCTION("GOOGLETRANSLATE(B2098, ""fr"", ""en"")"),"Very good I loved my baby he drinks very well")</f>
        <v>Very good I loved my baby he drinks very well</v>
      </c>
    </row>
    <row r="2099">
      <c r="A2099" s="1">
        <v>5.0</v>
      </c>
      <c r="B2099" s="1" t="s">
        <v>2087</v>
      </c>
      <c r="C2099" t="str">
        <f>IFERROR(__xludf.DUMMYFUNCTION("GOOGLETRANSLATE(B2099, ""fr"", ""en"")"),"Super cartridge ink cartridge compatible with my Canon printer recognizes the chip Value excellent price ... I recommend")</f>
        <v>Super cartridge ink cartridge compatible with my Canon printer recognizes the chip Value excellent price ... I recommend</v>
      </c>
    </row>
    <row r="2100">
      <c r="A2100" s="1">
        <v>5.0</v>
      </c>
      <c r="B2100" s="1" t="s">
        <v>2088</v>
      </c>
      <c r="C2100" t="str">
        <f>IFERROR(__xludf.DUMMYFUNCTION("GOOGLETRANSLATE(B2100, ""fr"", ""en"")"),"Nikel very good product. the diams are stylish and they hold up well on the crown. Combs well fix the tiara")</f>
        <v>Nikel very good product. the diams are stylish and they hold up well on the crown. Combs well fix the tiara</v>
      </c>
    </row>
    <row r="2101">
      <c r="A2101" s="1">
        <v>5.0</v>
      </c>
      <c r="B2101" s="1" t="s">
        <v>2089</v>
      </c>
      <c r="C2101" t="str">
        <f>IFERROR(__xludf.DUMMYFUNCTION("GOOGLETRANSLATE(B2101, ""fr"", ""en"")"),"Top The design is beautiful and easy to carry.")</f>
        <v>Top The design is beautiful and easy to carry.</v>
      </c>
    </row>
    <row r="2102">
      <c r="A2102" s="1">
        <v>2.0</v>
      </c>
      <c r="B2102" s="1" t="s">
        <v>2090</v>
      </c>
      <c r="C2102" t="str">
        <f>IFERROR(__xludf.DUMMYFUNCTION("GOOGLETRANSLATE(B2102, ""fr"", ""en"")"),"unfortunately common practice as usual, after inserting a new cartridge, the printer share in a cycle of ""maintenance"" long and empty cartridges ... other result, I replace my yellow ink cartridge, and color magenta, which remained a quarter, is now emp"&amp;"ty! cyan, he remained a good third, is now just limit: well, well, what chance unhappy. I wonder if the same phenomenon occurs in other brands, this one comes in any case to lose a customer. Stop Pigeons.")</f>
        <v>unfortunately common practice as usual, after inserting a new cartridge, the printer share in a cycle of "maintenance" long and empty cartridges ... other result, I replace my yellow ink cartridge, and color magenta, which remained a quarter, is now empty! cyan, he remained a good third, is now just limit: well, well, what chance unhappy. I wonder if the same phenomenon occurs in other brands, this one comes in any case to lose a customer. Stop Pigeons.</v>
      </c>
    </row>
    <row r="2103">
      <c r="A2103" s="1">
        <v>1.0</v>
      </c>
      <c r="B2103" s="1" t="s">
        <v>2091</v>
      </c>
      <c r="C2103" t="str">
        <f>IFERROR(__xludf.DUMMYFUNCTION("GOOGLETRANSLATE(B2103, ""fr"", ""en"")"),"too small at first I have ordered this shoe for the job very attractive to BTW I took a size 45 to be on whatsoever big enough bad luck took ..ilaurai take 46 damage: (((((( (")</f>
        <v>too small at first I have ordered this shoe for the job very attractive to BTW I took a size 45 to be on whatsoever big enough bad luck took ..ilaurai take 46 damage: (((((( (</v>
      </c>
    </row>
    <row r="2104">
      <c r="A2104" s="1">
        <v>1.0</v>
      </c>
      <c r="B2104" s="1" t="s">
        <v>2092</v>
      </c>
      <c r="C2104" t="str">
        <f>IFERROR(__xludf.DUMMYFUNCTION("GOOGLETRANSLATE(B2104, ""fr"", ""en"")"),"The damaged box box does not conform to the picture. It is corrupt! The products have the correct air to see in time ...")</f>
        <v>The damaged box box does not conform to the picture. It is corrupt! The products have the correct air to see in time ...</v>
      </c>
    </row>
    <row r="2105">
      <c r="A2105" s="1">
        <v>3.0</v>
      </c>
      <c r="B2105" s="1" t="s">
        <v>2093</v>
      </c>
      <c r="C2105" t="str">
        <f>IFERROR(__xludf.DUMMYFUNCTION("GOOGLETRANSLATE(B2105, ""fr"", ""en"")"),"No more Good quality / price ... no more")</f>
        <v>No more Good quality / price ... no more</v>
      </c>
    </row>
    <row r="2106">
      <c r="A2106" s="1">
        <v>3.0</v>
      </c>
      <c r="B2106" s="1" t="s">
        <v>2094</v>
      </c>
      <c r="C2106" t="str">
        <f>IFERROR(__xludf.DUMMYFUNCTION("GOOGLETRANSLATE(B2106, ""fr"", ""en"")"),"Too bad for the few above scratch Very good small bag, deep enough to put a lot of things. Only downside, she got scratched all over. Otherwise it is top")</f>
        <v>Too bad for the few above scratch Very good small bag, deep enough to put a lot of things. Only downside, she got scratched all over. Otherwise it is top</v>
      </c>
    </row>
    <row r="2107">
      <c r="A2107" s="1">
        <v>4.0</v>
      </c>
      <c r="B2107" s="1" t="s">
        <v>2095</v>
      </c>
      <c r="C2107" t="str">
        <f>IFERROR(__xludf.DUMMYFUNCTION("GOOGLETRANSLATE(B2107, ""fr"", ""en"")"),"well Clasp consistent and good quality. Product that complies the description of the ad. Good size. Not disappointed by this product")</f>
        <v>well Clasp consistent and good quality. Product that complies the description of the ad. Good size. Not disappointed by this product</v>
      </c>
    </row>
    <row r="2108">
      <c r="A2108" s="1">
        <v>4.0</v>
      </c>
      <c r="B2108" s="1" t="s">
        <v>2096</v>
      </c>
      <c r="C2108" t="str">
        <f>IFERROR(__xludf.DUMMYFUNCTION("GOOGLETRANSLATE(B2108, ""fr"", ""en"")"),"Good pop filter for small micro The pop filter is more effective, even if a pop filter should be rather close to the mouth rather than the microphone. Caution, however, the elastic are quite tight and suit all microphones. I use it with the Bird UM1, it i"&amp;"s ideal, so you have to have an equivalent microphone.")</f>
        <v>Good pop filter for small micro The pop filter is more effective, even if a pop filter should be rather close to the mouth rather than the microphone. Caution, however, the elastic are quite tight and suit all microphones. I use it with the Bird UM1, it is ideal, so you have to have an equivalent microphone.</v>
      </c>
    </row>
    <row r="2109">
      <c r="A2109" s="1">
        <v>4.0</v>
      </c>
      <c r="B2109" s="1" t="s">
        <v>2097</v>
      </c>
      <c r="C2109" t="str">
        <f>IFERROR(__xludf.DUMMYFUNCTION("GOOGLETRANSLATE(B2109, ""fr"", ""en"")"),"bottle bottle miracle against miracle I would love to do quevla brand darker dashes them because it's hard sometimes to see maivsinon exellent")</f>
        <v>bottle bottle miracle against miracle I would love to do quevla brand darker dashes them because it's hard sometimes to see maivsinon exellent</v>
      </c>
    </row>
    <row r="2110">
      <c r="A2110" s="1">
        <v>4.0</v>
      </c>
      <c r="B2110" s="1" t="s">
        <v>2098</v>
      </c>
      <c r="C2110" t="str">
        <f>IFERROR(__xludf.DUMMYFUNCTION("GOOGLETRANSLATE(B2110, ""fr"", ""en"")"),"Excellent quality / price elegant machine, good quality .. Practice")</f>
        <v>Excellent quality / price elegant machine, good quality .. Practice</v>
      </c>
    </row>
    <row r="2111">
      <c r="A2111" s="1">
        <v>5.0</v>
      </c>
      <c r="B2111" s="1" t="s">
        <v>2099</v>
      </c>
      <c r="C2111" t="str">
        <f>IFERROR(__xludf.DUMMYFUNCTION("GOOGLETRANSLATE(B2111, ""fr"", ""en"")"),"good product impecc")</f>
        <v>good product impecc</v>
      </c>
    </row>
    <row r="2112">
      <c r="A2112" s="1">
        <v>5.0</v>
      </c>
      <c r="B2112" s="1" t="s">
        <v>2100</v>
      </c>
      <c r="C2112" t="str">
        <f>IFERROR(__xludf.DUMMYFUNCTION("GOOGLETRANSLATE(B2112, ""fr"", ""en"")"),"Superb I really love too beautiful and more super fast delivery so great")</f>
        <v>Superb I really love too beautiful and more super fast delivery so great</v>
      </c>
    </row>
    <row r="2113">
      <c r="A2113" s="1">
        <v>5.0</v>
      </c>
      <c r="B2113" s="1" t="s">
        <v>2101</v>
      </c>
      <c r="C2113" t="str">
        <f>IFERROR(__xludf.DUMMYFUNCTION("GOOGLETRANSLATE(B2113, ""fr"", ""en"")"),"Top Perfect, comes with hardware to reduce or enlarge the wrist circumference, super")</f>
        <v>Top Perfect, comes with hardware to reduce or enlarge the wrist circumference, super</v>
      </c>
    </row>
    <row r="2114">
      <c r="A2114" s="1">
        <v>5.0</v>
      </c>
      <c r="B2114" s="1" t="s">
        <v>2102</v>
      </c>
      <c r="C2114" t="str">
        <f>IFERROR(__xludf.DUMMYFUNCTION("GOOGLETRANSLATE(B2114, ""fr"", ""en"")"),"IDEAL FOR SPORTS These three pairs of socks are ideal for sports on carpet with their non-slip coating. But also for sports like fitness and strength training for me. More suited to an autumn or winter, they are quite thick and allow to let breathe feet. "&amp;"The price is very affordable for this quality product.")</f>
        <v>IDEAL FOR SPORTS These three pairs of socks are ideal for sports on carpet with their non-slip coating. But also for sports like fitness and strength training for me. More suited to an autumn or winter, they are quite thick and allow to let breathe feet. The price is very affordable for this quality product.</v>
      </c>
    </row>
    <row r="2115">
      <c r="A2115" s="1">
        <v>5.0</v>
      </c>
      <c r="B2115" s="1" t="s">
        <v>2103</v>
      </c>
      <c r="C2115" t="str">
        <f>IFERROR(__xludf.DUMMYFUNCTION("GOOGLETRANSLATE(B2115, ""fr"", ""en"")"),"Ok Jogging")</f>
        <v>Ok Jogging</v>
      </c>
    </row>
    <row r="2116">
      <c r="A2116" s="1">
        <v>5.0</v>
      </c>
      <c r="B2116" s="1" t="s">
        <v>2104</v>
      </c>
      <c r="C2116" t="str">
        <f>IFERROR(__xludf.DUMMYFUNCTION("GOOGLETRANSLATE(B2116, ""fr"", ""en"")"),". Very good underwear, the fabric is very soft, it is very comfortable to wear, it will not warp after some lavages.pafait!")</f>
        <v>. Very good underwear, the fabric is very soft, it is very comfortable to wear, it will not warp after some lavages.pafait!</v>
      </c>
    </row>
    <row r="2117">
      <c r="A2117" s="1">
        <v>5.0</v>
      </c>
      <c r="B2117" s="1" t="s">
        <v>2105</v>
      </c>
      <c r="C2117" t="str">
        <f>IFERROR(__xludf.DUMMYFUNCTION("GOOGLETRANSLATE(B2117, ""fr"", ""en"")"),"perfect soft sole for plant sensitive feet; Heel height sufficient to relieve lower back pain; suitable material for the rainy season half; looking sport without too fancy; Rugged, pretty, soft touch ... What else? My only regret is that we did not do in "&amp;"blue (more suitable for jeans). I surely redeem (I still have my first pair, white, dating from fifteen years: tired but entirely made portable). I am a fan!")</f>
        <v>perfect soft sole for plant sensitive feet; Heel height sufficient to relieve lower back pain; suitable material for the rainy season half; looking sport without too fancy; Rugged, pretty, soft touch ... What else? My only regret is that we did not do in blue (more suitable for jeans). I surely redeem (I still have my first pair, white, dating from fifteen years: tired but entirely made portable). I am a fan!</v>
      </c>
    </row>
    <row r="2118">
      <c r="A2118" s="1">
        <v>5.0</v>
      </c>
      <c r="B2118" s="1" t="s">
        <v>2106</v>
      </c>
      <c r="C2118" t="str">
        <f>IFERROR(__xludf.DUMMYFUNCTION("GOOGLETRANSLATE(B2118, ""fr"", ""en"")"),"paper drawing just a bit too lissse, I thought it would be a little rougher this is to make drawings in ink, I can not sketching color pencil, I'll try to make the felt, but it was not planned !!! ok delivery, perfect packaging, fair price")</f>
        <v>paper drawing just a bit too lissse, I thought it would be a little rougher this is to make drawings in ink, I can not sketching color pencil, I'll try to make the felt, but it was not planned !!! ok delivery, perfect packaging, fair price</v>
      </c>
    </row>
    <row r="2119">
      <c r="A2119" s="1">
        <v>5.0</v>
      </c>
      <c r="B2119" s="1" t="s">
        <v>2107</v>
      </c>
      <c r="C2119" t="str">
        <f>IFERROR(__xludf.DUMMYFUNCTION("GOOGLETRANSLATE(B2119, ""fr"", ""en"")"),"I recommend Good product")</f>
        <v>I recommend Good product</v>
      </c>
    </row>
    <row r="2120">
      <c r="A2120" s="1">
        <v>5.0</v>
      </c>
      <c r="B2120" s="1" t="s">
        <v>2108</v>
      </c>
      <c r="C2120" t="str">
        <f>IFERROR(__xludf.DUMMYFUNCTION("GOOGLETRANSLATE(B2120, ""fr"", ""en"")"),"Beautiful compression Nothing negative to say about this compression. He is perfect. Evacuates perfectly so no sweat smell. Light and pleasant. This size as expected.")</f>
        <v>Beautiful compression Nothing negative to say about this compression. He is perfect. Evacuates perfectly so no sweat smell. Light and pleasant. This size as expected.</v>
      </c>
    </row>
    <row r="2121">
      <c r="A2121" s="1">
        <v>5.0</v>
      </c>
      <c r="B2121" s="1" t="s">
        <v>2109</v>
      </c>
      <c r="C2121" t="str">
        <f>IFERROR(__xludf.DUMMYFUNCTION("GOOGLETRANSLATE(B2121, ""fr"", ""en"")"),"very well I bought a pair for my grandfather. He likes c warm and comfortable. It is cheap. I'll buy another pair for my grandmother asussi.")</f>
        <v>very well I bought a pair for my grandfather. He likes c warm and comfortable. It is cheap. I'll buy another pair for my grandmother asussi.</v>
      </c>
    </row>
    <row r="2122">
      <c r="A2122" s="1">
        <v>5.0</v>
      </c>
      <c r="B2122" s="1" t="s">
        <v>2110</v>
      </c>
      <c r="C2122" t="str">
        <f>IFERROR(__xludf.DUMMYFUNCTION("GOOGLETRANSLATE(B2122, ""fr"", ""en"")"),"Perfect Very effective, very easy deletion. Quick delivery")</f>
        <v>Perfect Very effective, very easy deletion. Quick delivery</v>
      </c>
    </row>
    <row r="2123">
      <c r="A2123" s="1">
        <v>5.0</v>
      </c>
      <c r="B2123" s="1" t="s">
        <v>2111</v>
      </c>
      <c r="C2123" t="str">
        <f>IFERROR(__xludf.DUMMYFUNCTION("GOOGLETRANSLATE(B2123, ""fr"", ""en"")"),"Perfect! Very good quality Lightweight Although manufactured Its excellent high performance Micro")</f>
        <v>Perfect! Very good quality Lightweight Although manufactured Its excellent high performance Micro</v>
      </c>
    </row>
    <row r="2124">
      <c r="A2124" s="1">
        <v>5.0</v>
      </c>
      <c r="B2124" s="1" t="s">
        <v>2112</v>
      </c>
      <c r="C2124" t="str">
        <f>IFERROR(__xludf.DUMMYFUNCTION("GOOGLETRANSLATE(B2124, ""fr"", ""en"")"),"Good remote lightweight and easy to use remote control to its PPT presentations. She makes me do! Good value for money.")</f>
        <v>Good remote lightweight and easy to use remote control to its PPT presentations. She makes me do! Good value for money.</v>
      </c>
    </row>
    <row r="2125">
      <c r="A2125" s="1">
        <v>5.0</v>
      </c>
      <c r="B2125" s="1" t="s">
        <v>2113</v>
      </c>
      <c r="C2125" t="str">
        <f>IFERROR(__xludf.DUMMYFUNCTION("GOOGLETRANSLATE(B2125, ""fr"", ""en"")"),"As beautiful bare feet, they are forgotten. It is very low. It fit well as pants as skirts .. Pleased with my purchase")</f>
        <v>As beautiful bare feet, they are forgotten. It is very low. It fit well as pants as skirts .. Pleased with my purchase</v>
      </c>
    </row>
    <row r="2126">
      <c r="A2126" s="1">
        <v>2.0</v>
      </c>
      <c r="B2126" s="1" t="s">
        <v>2114</v>
      </c>
      <c r="C2126" t="str">
        <f>IFERROR(__xludf.DUMMYFUNCTION("GOOGLETRANSLATE(B2126, ""fr"", ""en"")"),"Doubt about the authenticity I received the article, I took size M usually like all my sweaters except that it's very fair, almost too small, plus I have real doubts about the authenticity ... the étiquuete was ill placed, quality fabrics seems to me égra"&amp;"nge short, I do not recommend")</f>
        <v>Doubt about the authenticity I received the article, I took size M usually like all my sweaters except that it's very fair, almost too small, plus I have real doubts about the authenticity ... the étiquuete was ill placed, quality fabrics seems to me égrange short, I do not recommend</v>
      </c>
    </row>
    <row r="2127">
      <c r="A2127" s="1">
        <v>1.0</v>
      </c>
      <c r="B2127" s="1" t="s">
        <v>2115</v>
      </c>
      <c r="C2127" t="str">
        <f>IFERROR(__xludf.DUMMYFUNCTION("GOOGLETRANSLATE(B2127, ""fr"", ""en"")"),"Down following a night operation ... In the package insert: ""The security system has disabled irreversibly mattress heater."" Nice for us !! It should return the item to the customer service. Second post, first denied by amazon.")</f>
        <v>Down following a night operation ... In the package insert: "The security system has disabled irreversibly mattress heater." Nice for us !! It should return the item to the customer service. Second post, first denied by amazon.</v>
      </c>
    </row>
    <row r="2128">
      <c r="A2128" s="1">
        <v>1.0</v>
      </c>
      <c r="B2128" s="1" t="s">
        <v>2116</v>
      </c>
      <c r="C2128" t="str">
        <f>IFERROR(__xludf.DUMMYFUNCTION("GOOGLETRANSLATE(B2128, ""fr"", ""en"")"),"perfect for a nice walk but uncomfortable by against big pain for the other foot. There is a manufacturing defect which makes them unusable without the intervention of a shoemaker bad because many compliments on the look!")</f>
        <v>perfect for a nice walk but uncomfortable by against big pain for the other foot. There is a manufacturing defect which makes them unusable without the intervention of a shoemaker bad because many compliments on the look!</v>
      </c>
    </row>
    <row r="2129">
      <c r="A2129" s="1">
        <v>3.0</v>
      </c>
      <c r="B2129" s="1" t="s">
        <v>2117</v>
      </c>
      <c r="C2129" t="str">
        <f>IFERROR(__xludf.DUMMYFUNCTION("GOOGLETRANSLATE(B2129, ""fr"", ""en"")"),"Yes, but ... It sounds correct it is very light very well but this is so ca necessarily because it is so completely in plastic medium, I think for the price you can expect a better level and its finish")</f>
        <v>Yes, but ... It sounds correct it is very light very well but this is so ca necessarily because it is so completely in plastic medium, I think for the price you can expect a better level and its finish</v>
      </c>
    </row>
    <row r="2130">
      <c r="A2130" s="1">
        <v>4.0</v>
      </c>
      <c r="B2130" s="1" t="s">
        <v>2118</v>
      </c>
      <c r="C2130" t="str">
        <f>IFERROR(__xludf.DUMMYFUNCTION("GOOGLETRANSLATE(B2130, ""fr"", ""en"")"),"The article offered for a birthday bracelet that had its effect with much questioning of the magnets (although the effectiveness remains to be demonstrated on the well being of the wearer ... nobody is fooled!)")</f>
        <v>The article offered for a birthday bracelet that had its effect with much questioning of the magnets (although the effectiveness remains to be demonstrated on the well being of the wearer ... nobody is fooled!)</v>
      </c>
    </row>
    <row r="2131">
      <c r="A2131" s="1">
        <v>4.0</v>
      </c>
      <c r="B2131" s="1" t="s">
        <v>2119</v>
      </c>
      <c r="C2131" t="str">
        <f>IFERROR(__xludf.DUMMYFUNCTION("GOOGLETRANSLATE(B2131, ""fr"", ""en"")"),"Comfortable, friendly and saves a few centimeters. I put the shoes every day because-VERY comfortable.")</f>
        <v>Comfortable, friendly and saves a few centimeters. I put the shoes every day because-VERY comfortable.</v>
      </c>
    </row>
    <row r="2132">
      <c r="A2132" s="1">
        <v>4.0</v>
      </c>
      <c r="B2132" s="1" t="s">
        <v>2120</v>
      </c>
      <c r="C2132" t="str">
        <f>IFERROR(__xludf.DUMMYFUNCTION("GOOGLETRANSLATE(B2132, ""fr"", ""en"")"),"Longevity very well Nothing to say Tip top.")</f>
        <v>Longevity very well Nothing to say Tip top.</v>
      </c>
    </row>
    <row r="2133">
      <c r="A2133" s="1">
        <v>4.0</v>
      </c>
      <c r="B2133" s="1" t="s">
        <v>2121</v>
      </c>
      <c r="C2133" t="str">
        <f>IFERROR(__xludf.DUMMYFUNCTION("GOOGLETRANSLATE(B2133, ""fr"", ""en"")"),"Vintage bag very good and practical with its numerous pockets and shoulder suited more good quality / price ratio. A good buy.")</f>
        <v>Vintage bag very good and practical with its numerous pockets and shoulder suited more good quality / price ratio. A good buy.</v>
      </c>
    </row>
    <row r="2134">
      <c r="A2134" s="1">
        <v>4.0</v>
      </c>
      <c r="B2134" s="1" t="s">
        <v>2122</v>
      </c>
      <c r="C2134" t="str">
        <f>IFERROR(__xludf.DUMMYFUNCTION("GOOGLETRANSLATE(B2134, ""fr"", ""en"")"),"Good but not sure it's nike Not sure this is a real good product but nike")</f>
        <v>Good but not sure it's nike Not sure this is a real good product but nike</v>
      </c>
    </row>
    <row r="2135">
      <c r="A2135" s="1">
        <v>5.0</v>
      </c>
      <c r="B2135" s="1" t="s">
        <v>2123</v>
      </c>
      <c r="C2135" t="str">
        <f>IFERROR(__xludf.DUMMYFUNCTION("GOOGLETRANSLATE(B2135, ""fr"", ""en"")"),"easy convenient quick start to see then over time I just bought it and am served me 2 times")</f>
        <v>easy convenient quick start to see then over time I just bought it and am served me 2 times</v>
      </c>
    </row>
    <row r="2136">
      <c r="A2136" s="1">
        <v>5.0</v>
      </c>
      <c r="B2136" s="1" t="s">
        <v>2124</v>
      </c>
      <c r="C2136" t="str">
        <f>IFERROR(__xludf.DUMMYFUNCTION("GOOGLETRANSLATE(B2136, ""fr"", ""en"")"),"disinfectant always worn my hand I 'm often serve for handles, knobs zapettes tap keyboards etc. gastroenteritis is less present in my family. I like her perfume and efficiency")</f>
        <v>disinfectant always worn my hand I 'm often serve for handles, knobs zapettes tap keyboards etc. gastroenteritis is less present in my family. I like her perfume and efficiency</v>
      </c>
    </row>
    <row r="2137">
      <c r="A2137" s="1">
        <v>5.0</v>
      </c>
      <c r="B2137" s="1" t="s">
        <v>224</v>
      </c>
      <c r="C2137" t="str">
        <f>IFERROR(__xludf.DUMMYFUNCTION("GOOGLETRANSLATE(B2137, ""fr"", ""en"")"),"perfect perfect")</f>
        <v>perfect perfect</v>
      </c>
    </row>
    <row r="2138">
      <c r="A2138" s="1">
        <v>5.0</v>
      </c>
      <c r="B2138" s="1" t="s">
        <v>2125</v>
      </c>
      <c r="C2138" t="str">
        <f>IFERROR(__xludf.DUMMYFUNCTION("GOOGLETRANSLATE(B2138, ""fr"", ""en"")"),"Watch simple and effective! Second watch brand I buy is very satisfied with the first. This black model is simple and effective: no fuss, discrete class. She is super flat and goes everywhere: the strap easily adjusts to fit any wrist. Note the delivery i"&amp;"n a felt pouch the best taste! Still satisfied with the brand.")</f>
        <v>Watch simple and effective! Second watch brand I buy is very satisfied with the first. This black model is simple and effective: no fuss, discrete class. She is super flat and goes everywhere: the strap easily adjusts to fit any wrist. Note the delivery in a felt pouch the best taste! Still satisfied with the brand.</v>
      </c>
    </row>
    <row r="2139">
      <c r="A2139" s="1">
        <v>5.0</v>
      </c>
      <c r="B2139" s="1" t="s">
        <v>2126</v>
      </c>
      <c r="C2139" t="str">
        <f>IFERROR(__xludf.DUMMYFUNCTION("GOOGLETRANSLATE(B2139, ""fr"", ""en"")"),"Very good quality is top notch. The foot march is strong, my child is safe when he goes up top. I am delighted with this purchase, and he, too, can now wash their hands alone and watch me room without difficulty.")</f>
        <v>Very good quality is top notch. The foot march is strong, my child is safe when he goes up top. I am delighted with this purchase, and he, too, can now wash their hands alone and watch me room without difficulty.</v>
      </c>
    </row>
    <row r="2140">
      <c r="A2140" s="1">
        <v>5.0</v>
      </c>
      <c r="B2140" s="1" t="s">
        <v>2127</v>
      </c>
      <c r="C2140" t="str">
        <f>IFERROR(__xludf.DUMMYFUNCTION("GOOGLETRANSLATE(B2140, ""fr"", ""en"")"),"Perfect perfectly meets the expectations, fast shipping")</f>
        <v>Perfect perfectly meets the expectations, fast shipping</v>
      </c>
    </row>
    <row r="2141">
      <c r="A2141" s="1">
        <v>5.0</v>
      </c>
      <c r="B2141" s="1" t="s">
        <v>2128</v>
      </c>
      <c r="C2141" t="str">
        <f>IFERROR(__xludf.DUMMYFUNCTION("GOOGLETRANSLATE(B2141, ""fr"", ""en"")"),"Very good ss wireless headset gift for my spouse it is very conent Buy primarily for pre-game it is not clutter and can concentrate all by causing its overheating with the phone in the pocket Great sound good battery life I penseen buy a 2nd for me")</f>
        <v>Very good ss wireless headset gift for my spouse it is very conent Buy primarily for pre-game it is not clutter and can concentrate all by causing its overheating with the phone in the pocket Great sound good battery life I penseen buy a 2nd for me</v>
      </c>
    </row>
    <row r="2142">
      <c r="A2142" s="1">
        <v>5.0</v>
      </c>
      <c r="B2142" s="1" t="s">
        <v>2129</v>
      </c>
      <c r="C2142" t="str">
        <f>IFERROR(__xludf.DUMMYFUNCTION("GOOGLETRANSLATE(B2142, ""fr"", ""en"")"),"In the top ! Great Value. Anime Karaoke evenings with friends C's all we ask!")</f>
        <v>In the top ! Great Value. Anime Karaoke evenings with friends C's all we ask!</v>
      </c>
    </row>
    <row r="2143">
      <c r="A2143" s="1">
        <v>5.0</v>
      </c>
      <c r="B2143" s="1" t="s">
        <v>2130</v>
      </c>
      <c r="C2143" t="str">
        <f>IFERROR(__xludf.DUMMYFUNCTION("GOOGLETRANSLATE(B2143, ""fr"", ""en"")"),"Finally the day in winter! That's 15 days since I use this lamp. The design is not bad. The intensity of the light is perfect, I rather used the morning to a distance of about 20 cm and no more than 30 minutes, it alarm clock well and it sets up for the d"&amp;"ay. Having worries headache right now, I noticed that after only 10 minutes of use, they leave without taking a fee. So, I use it sometimes in the evening a quarter of an hour. The lamp is easy to transport even if it is a little imposing. I do not know i"&amp;"f it plays the blues because I have not bought it, but to have daylight in the winter. She filled this function perfectly!")</f>
        <v>Finally the day in winter! That's 15 days since I use this lamp. The design is not bad. The intensity of the light is perfect, I rather used the morning to a distance of about 20 cm and no more than 30 minutes, it alarm clock well and it sets up for the day. Having worries headache right now, I noticed that after only 10 minutes of use, they leave without taking a fee. So, I use it sometimes in the evening a quarter of an hour. The lamp is easy to transport even if it is a little imposing. I do not know if it plays the blues because I have not bought it, but to have daylight in the winter. She filled this function perfectly!</v>
      </c>
    </row>
    <row r="2144">
      <c r="A2144" s="1">
        <v>5.0</v>
      </c>
      <c r="B2144" s="1" t="s">
        <v>2131</v>
      </c>
      <c r="C2144" t="str">
        <f>IFERROR(__xludf.DUMMYFUNCTION("GOOGLETRANSLATE(B2144, ""fr"", ""en"")"),"Shoulder bag Eastpak Product received in time. Extremely satisfied with the bag, beautiful, practical, good size, very good quality. Good closures. I absolutely recommend.")</f>
        <v>Shoulder bag Eastpak Product received in time. Extremely satisfied with the bag, beautiful, practical, good size, very good quality. Good closures. I absolutely recommend.</v>
      </c>
    </row>
    <row r="2145">
      <c r="A2145" s="1">
        <v>5.0</v>
      </c>
      <c r="B2145" s="1" t="s">
        <v>2132</v>
      </c>
      <c r="C2145" t="str">
        <f>IFERROR(__xludf.DUMMYFUNCTION("GOOGLETRANSLATE(B2145, ""fr"", ""en"")"),"Perfect kit perfect for motherhood! Do not take up space and is complete! The bottom is here to stay!")</f>
        <v>Perfect kit perfect for motherhood! Do not take up space and is complete! The bottom is here to stay!</v>
      </c>
    </row>
    <row r="2146">
      <c r="A2146" s="1">
        <v>5.0</v>
      </c>
      <c r="B2146" s="1" t="s">
        <v>2133</v>
      </c>
      <c r="C2146" t="str">
        <f>IFERROR(__xludf.DUMMYFUNCTION("GOOGLETRANSLATE(B2146, ""fr"", ""en"")"),"A classic No bad surprise. Beautiful summer shoe.")</f>
        <v>A classic No bad surprise. Beautiful summer shoe.</v>
      </c>
    </row>
    <row r="2147">
      <c r="A2147" s="1">
        <v>5.0</v>
      </c>
      <c r="B2147" s="1" t="s">
        <v>2134</v>
      </c>
      <c r="C2147" t="str">
        <f>IFERROR(__xludf.DUMMYFUNCTION("GOOGLETRANSLATE(B2147, ""fr"", ""en"")"),"Good product Headphones are great from light, comfortable to wear and tight fit They quickly connect Bluetooth and as soon as the out of the box The battery holds a long time it's top")</f>
        <v>Good product Headphones are great from light, comfortable to wear and tight fit They quickly connect Bluetooth and as soon as the out of the box The battery holds a long time it's top</v>
      </c>
    </row>
    <row r="2148">
      <c r="A2148" s="1">
        <v>5.0</v>
      </c>
      <c r="B2148" s="1" t="s">
        <v>2135</v>
      </c>
      <c r="C2148" t="str">
        <f>IFERROR(__xludf.DUMMYFUNCTION("GOOGLETRANSLATE(B2148, ""fr"", ""en"")"),"good quality products and top service! good quality products and top service!")</f>
        <v>good quality products and top service! good quality products and top service!</v>
      </c>
    </row>
    <row r="2149">
      <c r="A2149" s="1">
        <v>5.0</v>
      </c>
      <c r="B2149" s="1" t="s">
        <v>2136</v>
      </c>
      <c r="C2149" t="str">
        <f>IFERROR(__xludf.DUMMYFUNCTION("GOOGLETRANSLATE(B2149, ""fr"", ""en"")"),"Good look stylish, neat finish I recommend surely. To see in time how they take. Quick delivery. I am delighted")</f>
        <v>Good look stylish, neat finish I recommend surely. To see in time how they take. Quick delivery. I am delighted</v>
      </c>
    </row>
    <row r="2150">
      <c r="A2150" s="1">
        <v>2.0</v>
      </c>
      <c r="B2150" s="1" t="s">
        <v>2137</v>
      </c>
      <c r="C2150" t="str">
        <f>IFERROR(__xludf.DUMMYFUNCTION("GOOGLETRANSLATE(B2150, ""fr"", ""en"")"),"For heavy legs I do not recommend low performance: poor bubbles. And especially not to disconnect the heating !!! frightful")</f>
        <v>For heavy legs I do not recommend low performance: poor bubbles. And especially not to disconnect the heating !!! frightful</v>
      </c>
    </row>
    <row r="2151">
      <c r="A2151" s="1">
        <v>1.0</v>
      </c>
      <c r="B2151" s="1" t="s">
        <v>2138</v>
      </c>
      <c r="C2151" t="str">
        <f>IFERROR(__xludf.DUMMYFUNCTION("GOOGLETRANSLATE(B2151, ""fr"", ""en"")"),"Mini unnecessary mixer I purchased this mixer DJControl COMPACT is totally useless there's no preview on the console or on the software. Go your way I would not recommend this product. I sent my product for hercules platinum instinct P8.")</f>
        <v>Mini unnecessary mixer I purchased this mixer DJControl COMPACT is totally useless there's no preview on the console or on the software. Go your way I would not recommend this product. I sent my product for hercules platinum instinct P8.</v>
      </c>
    </row>
    <row r="2152">
      <c r="A2152" s="1">
        <v>3.0</v>
      </c>
      <c r="B2152" s="1" t="s">
        <v>2139</v>
      </c>
      <c r="C2152" t="str">
        <f>IFERROR(__xludf.DUMMYFUNCTION("GOOGLETRANSLATE(B2152, ""fr"", ""en"")"),"Complies but ... compliant product quality and correct but beware! Only works with a specific food (we must add € 22 to the bill)")</f>
        <v>Complies but ... compliant product quality and correct but beware! Only works with a specific food (we must add € 22 to the bill)</v>
      </c>
    </row>
    <row r="2153">
      <c r="A2153" s="1">
        <v>3.0</v>
      </c>
      <c r="B2153" s="1" t="s">
        <v>2140</v>
      </c>
      <c r="C2153" t="str">
        <f>IFERROR(__xludf.DUMMYFUNCTION("GOOGLETRANSLATE(B2153, ""fr"", ""en"")"),"Good but a bit too small The product is of good qualities and solid seems, though the size really are not optimal for proper insulation acouqtique")</f>
        <v>Good but a bit too small The product is of good qualities and solid seems, though the size really are not optimal for proper insulation acouqtique</v>
      </c>
    </row>
    <row r="2154">
      <c r="A2154" s="1">
        <v>4.0</v>
      </c>
      <c r="B2154" s="1" t="s">
        <v>2141</v>
      </c>
      <c r="C2154" t="str">
        <f>IFERROR(__xludf.DUMMYFUNCTION("GOOGLETRANSLATE(B2154, ""fr"", ""en"")"),"Top I love great sound and effect")</f>
        <v>Top I love great sound and effect</v>
      </c>
    </row>
    <row r="2155">
      <c r="A2155" s="1">
        <v>4.0</v>
      </c>
      <c r="B2155" s="1" t="s">
        <v>2142</v>
      </c>
      <c r="C2155" t="str">
        <f>IFERROR(__xludf.DUMMYFUNCTION("GOOGLETRANSLATE(B2155, ""fr"", ""en"")"),"Good value after over a month of use, I can say I am satisfied with the product. Although at first when you open the box, the diffuser is plastic, giving a look ""cheap"", for use with the play of colors the product fits in the living room. The 500ml capa"&amp;"city is very large or too big for our living room. The product works well.")</f>
        <v>Good value after over a month of use, I can say I am satisfied with the product. Although at first when you open the box, the diffuser is plastic, giving a look "cheap", for use with the play of colors the product fits in the living room. The 500ml capacity is very large or too big for our living room. The product works well.</v>
      </c>
    </row>
    <row r="2156">
      <c r="A2156" s="1">
        <v>4.0</v>
      </c>
      <c r="B2156" s="1" t="s">
        <v>2143</v>
      </c>
      <c r="C2156" t="str">
        <f>IFERROR(__xludf.DUMMYFUNCTION("GOOGLETRANSLATE(B2156, ""fr"", ""en"")"),"Pretty good")</f>
        <v>Pretty good</v>
      </c>
    </row>
    <row r="2157">
      <c r="A2157" s="1">
        <v>4.0</v>
      </c>
      <c r="B2157" s="1" t="s">
        <v>2144</v>
      </c>
      <c r="C2157" t="str">
        <f>IFERROR(__xludf.DUMMYFUNCTION("GOOGLETRANSLATE(B2157, ""fr"", ""en"")"),"Very nice very nice sneakers to wear with a casual or dressed for offset. I am glad. Very comfortable.")</f>
        <v>Very nice very nice sneakers to wear with a casual or dressed for offset. I am glad. Very comfortable.</v>
      </c>
    </row>
    <row r="2158">
      <c r="A2158" s="1">
        <v>5.0</v>
      </c>
      <c r="B2158" s="1" t="s">
        <v>2145</v>
      </c>
      <c r="C2158" t="str">
        <f>IFERROR(__xludf.DUMMYFUNCTION("GOOGLETRANSLATE(B2158, ""fr"", ""en"")"),"Laminated Pouches of excellent quality, I recommend all my documents are well protected, they are quite thick and hold well")</f>
        <v>Laminated Pouches of excellent quality, I recommend all my documents are well protected, they are quite thick and hold well</v>
      </c>
    </row>
    <row r="2159">
      <c r="A2159" s="1">
        <v>5.0</v>
      </c>
      <c r="B2159" s="1" t="s">
        <v>2146</v>
      </c>
      <c r="C2159" t="str">
        <f>IFERROR(__xludf.DUMMYFUNCTION("GOOGLETRANSLATE(B2159, ""fr"", ""en"")"),"real quality product Super boots cheaper than store I really recommend, they are warm and pleasant but also very strong. Ideal for work on the farm")</f>
        <v>real quality product Super boots cheaper than store I really recommend, they are warm and pleasant but also very strong. Ideal for work on the farm</v>
      </c>
    </row>
    <row r="2160">
      <c r="A2160" s="1">
        <v>5.0</v>
      </c>
      <c r="B2160" s="1" t="s">
        <v>2147</v>
      </c>
      <c r="C2160" t="str">
        <f>IFERROR(__xludf.DUMMYFUNCTION("GOOGLETRANSLATE(B2160, ""fr"", ""en"")"),"Reading The first reading")</f>
        <v>Reading The first reading</v>
      </c>
    </row>
    <row r="2161">
      <c r="A2161" s="1">
        <v>5.0</v>
      </c>
      <c r="B2161" s="1" t="s">
        <v>2148</v>
      </c>
      <c r="C2161" t="str">
        <f>IFERROR(__xludf.DUMMYFUNCTION("GOOGLETRANSLATE(B2161, ""fr"", ""en"")"),"Good bed preparation ... Placed in the bed 1 hour before bed, what happiness to sneak into the warm sheets.")</f>
        <v>Good bed preparation ... Placed in the bed 1 hour before bed, what happiness to sneak into the warm sheets.</v>
      </c>
    </row>
    <row r="2162">
      <c r="A2162" s="1">
        <v>5.0</v>
      </c>
      <c r="B2162" s="1" t="s">
        <v>2149</v>
      </c>
      <c r="C2162" t="str">
        <f>IFERROR(__xludf.DUMMYFUNCTION("GOOGLETRANSLATE(B2162, ""fr"", ""en"")"),"H-Mastery Basketball I love Very Comfortable")</f>
        <v>H-Mastery Basketball I love Very Comfortable</v>
      </c>
    </row>
    <row r="2163">
      <c r="A2163" s="1">
        <v>5.0</v>
      </c>
      <c r="B2163" s="1" t="s">
        <v>2150</v>
      </c>
      <c r="C2163" t="str">
        <f>IFERROR(__xludf.DUMMYFUNCTION("GOOGLETRANSLATE(B2163, ""fr"", ""en"")"),"The toppp I'm really happy with this watch. Holds great the load (I'm 5 days without charging the watch and I still have 42% battery) facilr connection. Cardiac monitoring and sleep nickel. I just love it")</f>
        <v>The toppp I'm really happy with this watch. Holds great the load (I'm 5 days without charging the watch and I still have 42% battery) facilr connection. Cardiac monitoring and sleep nickel. I just love it</v>
      </c>
    </row>
    <row r="2164">
      <c r="A2164" s="1">
        <v>5.0</v>
      </c>
      <c r="B2164" s="1" t="s">
        <v>2151</v>
      </c>
      <c r="C2164" t="str">
        <f>IFERROR(__xludf.DUMMYFUNCTION("GOOGLETRANSLATE(B2164, ""fr"", ""en"")"),"Impeccable! The product perfectly fits the description. I mainly use the watch for sport with its ""stopwatch"" function. At the opening, visually, the watch is small but with the time it used to it quickly. Ideal for small wrists. Small flat for backligh"&amp;"ting that I find a bit low.")</f>
        <v>Impeccable! The product perfectly fits the description. I mainly use the watch for sport with its "stopwatch" function. At the opening, visually, the watch is small but with the time it used to it quickly. Ideal for small wrists. Small flat for backlighting that I find a bit low.</v>
      </c>
    </row>
    <row r="2165">
      <c r="A2165" s="1">
        <v>5.0</v>
      </c>
      <c r="B2165" s="1" t="s">
        <v>2152</v>
      </c>
      <c r="C2165" t="str">
        <f>IFERROR(__xludf.DUMMYFUNCTION("GOOGLETRANSLATE(B2165, ""fr"", ""en"")"),"great ideal to share a moment of pleasure and happiness with baby")</f>
        <v>great ideal to share a moment of pleasure and happiness with baby</v>
      </c>
    </row>
    <row r="2166">
      <c r="A2166" s="1">
        <v>5.0</v>
      </c>
      <c r="B2166" s="1" t="s">
        <v>2153</v>
      </c>
      <c r="C2166" t="str">
        <f>IFERROR(__xludf.DUMMYFUNCTION("GOOGLETRANSLATE(B2166, ""fr"", ""en"")"),"Very useful !!! No worries with this device, heats up quickly through the outlet, and just ready 5 minutes via the cigarette lighter ... It is very useful especially that fate often.")</f>
        <v>Very useful !!! No worries with this device, heats up quickly through the outlet, and just ready 5 minutes via the cigarette lighter ... It is very useful especially that fate often.</v>
      </c>
    </row>
    <row r="2167">
      <c r="A2167" s="1">
        <v>5.0</v>
      </c>
      <c r="B2167" s="1" t="s">
        <v>2154</v>
      </c>
      <c r="C2167" t="str">
        <f>IFERROR(__xludf.DUMMYFUNCTION("GOOGLETRANSLATE(B2167, ""fr"", ""en"")"),"Paper Laminating This paper is really good to laminate large documents or possibly two A4 sheets. I recommend it to everyone.")</f>
        <v>Paper Laminating This paper is really good to laminate large documents or possibly two A4 sheets. I recommend it to everyone.</v>
      </c>
    </row>
    <row r="2168">
      <c r="A2168" s="1">
        <v>5.0</v>
      </c>
      <c r="B2168" s="1" t="s">
        <v>2155</v>
      </c>
      <c r="C2168" t="str">
        <f>IFERROR(__xludf.DUMMYFUNCTION("GOOGLETRANSLATE(B2168, ""fr"", ""en"")"),"Perfect Really great for kids. My girls 4 and 7 years old love!")</f>
        <v>Perfect Really great for kids. My girls 4 and 7 years old love!</v>
      </c>
    </row>
    <row r="2169">
      <c r="A2169" s="1">
        <v>5.0</v>
      </c>
      <c r="B2169" s="1" t="s">
        <v>2156</v>
      </c>
      <c r="C2169" t="str">
        <f>IFERROR(__xludf.DUMMYFUNCTION("GOOGLETRANSLATE(B2169, ""fr"", ""en"")"),"comfortable sports")</f>
        <v>comfortable sports</v>
      </c>
    </row>
    <row r="2170">
      <c r="A2170" s="1">
        <v>5.0</v>
      </c>
      <c r="B2170" s="1" t="s">
        <v>2157</v>
      </c>
      <c r="C2170" t="str">
        <f>IFERROR(__xludf.DUMMYFUNCTION("GOOGLETRANSLATE(B2170, ""fr"", ""en"")"),"Lovely Micro is very effective The sound of this microphone is very nice. it quickly loaded and simple to use my daughter loves")</f>
        <v>Lovely Micro is very effective The sound of this microphone is very nice. it quickly loaded and simple to use my daughter loves</v>
      </c>
    </row>
    <row r="2171">
      <c r="A2171" s="1">
        <v>5.0</v>
      </c>
      <c r="B2171" s="1" t="s">
        <v>2158</v>
      </c>
      <c r="C2171" t="str">
        <f>IFERROR(__xludf.DUMMYFUNCTION("GOOGLETRANSLATE(B2171, ""fr"", ""en"")"),"Works well for First purchase offer. Second purchase also. The third order is for me. My friends are very happy with their headphones and I was able to confirm the quality. Very good value for money. Good sound. Hold well during my workout. I am glad.")</f>
        <v>Works well for First purchase offer. Second purchase also. The third order is for me. My friends are very happy with their headphones and I was able to confirm the quality. Very good value for money. Good sound. Hold well during my workout. I am glad.</v>
      </c>
    </row>
    <row r="2172">
      <c r="A2172" s="1">
        <v>5.0</v>
      </c>
      <c r="B2172" s="1" t="s">
        <v>2159</v>
      </c>
      <c r="C2172" t="str">
        <f>IFERROR(__xludf.DUMMYFUNCTION("GOOGLETRANSLATE(B2172, ""fr"", ""en"")"),"Very happy with this oil Perfect with pregnancy, por the moment it works. Odor and pleasant texture. I will continue after delivery expected in January.")</f>
        <v>Very happy with this oil Perfect with pregnancy, por the moment it works. Odor and pleasant texture. I will continue after delivery expected in January.</v>
      </c>
    </row>
    <row r="2173">
      <c r="A2173" s="1">
        <v>2.0</v>
      </c>
      <c r="B2173" s="1" t="s">
        <v>2160</v>
      </c>
      <c r="C2173" t="str">
        <f>IFERROR(__xludf.DUMMYFUNCTION("GOOGLETRANSLATE(B2173, ""fr"", ""en"")"),"Kettle down after only 1 month of use I am disappointed for a kettle at this price! The kettle does not work at all, yet normal everyday use.")</f>
        <v>Kettle down after only 1 month of use I am disappointed for a kettle at this price! The kettle does not work at all, yet normal everyday use.</v>
      </c>
    </row>
    <row r="2174">
      <c r="A2174" s="1">
        <v>1.0</v>
      </c>
      <c r="B2174" s="1" t="s">
        <v>2161</v>
      </c>
      <c r="C2174" t="str">
        <f>IFERROR(__xludf.DUMMYFUNCTION("GOOGLETRANSLATE(B2174, ""fr"", ""en"")"),"Just nice nothing more can just say it's very nice but then the level of bad quality tout.J'ai could wear it once because it has blackened a few hours after having seen the good porté.Mais price, no one loses much")</f>
        <v>Just nice nothing more can just say it's very nice but then the level of bad quality tout.J'ai could wear it once because it has blackened a few hours after having seen the good porté.Mais price, no one loses much</v>
      </c>
    </row>
    <row r="2175">
      <c r="A2175" s="1">
        <v>1.0</v>
      </c>
      <c r="B2175" s="1" t="s">
        <v>2162</v>
      </c>
      <c r="C2175" t="str">
        <f>IFERROR(__xludf.DUMMYFUNCTION("GOOGLETRANSLATE(B2175, ""fr"", ""en"")"),"NOT RELIABLE Hello. The bags break, tear s below closures. unnecessary items. Bad quality. C is very unpleasant a garbage bag breaks. Refund. cordially")</f>
        <v>NOT RELIABLE Hello. The bags break, tear s below closures. unnecessary items. Bad quality. C is very unpleasant a garbage bag breaks. Refund. cordially</v>
      </c>
    </row>
    <row r="2176">
      <c r="A2176" s="1">
        <v>3.0</v>
      </c>
      <c r="B2176" s="1" t="s">
        <v>2163</v>
      </c>
      <c r="C2176" t="str">
        <f>IFERROR(__xludf.DUMMYFUNCTION("GOOGLETRANSLATE(B2176, ""fr"", ""en"")"),"Beautiful Pretty poor quality tea but tea but disappointed in the quality. Indeed you can not touch the stainless steel when the water is warm at the risk of burning yourself (attention to children), and rust occurs at the junction of the lid and the cont"&amp;"ainer after only 3 months of use. ..")</f>
        <v>Beautiful Pretty poor quality tea but tea but disappointed in the quality. Indeed you can not touch the stainless steel when the water is warm at the risk of burning yourself (attention to children), and rust occurs at the junction of the lid and the container after only 3 months of use. ..</v>
      </c>
    </row>
    <row r="2177">
      <c r="A2177" s="1">
        <v>3.0</v>
      </c>
      <c r="B2177" s="1" t="s">
        <v>2164</v>
      </c>
      <c r="C2177" t="str">
        <f>IFERROR(__xludf.DUMMYFUNCTION("GOOGLETRANSLATE(B2177, ""fr"", ""en"")"),"This is a man shows (not woman) watch man with interesting features (including alarms). But: no instruction in French or guidance to remove links to the bracelet.")</f>
        <v>This is a man shows (not woman) watch man with interesting features (including alarms). But: no instruction in French or guidance to remove links to the bracelet.</v>
      </c>
    </row>
    <row r="2178">
      <c r="A2178" s="1">
        <v>4.0</v>
      </c>
      <c r="B2178" s="1" t="s">
        <v>2165</v>
      </c>
      <c r="C2178" t="str">
        <f>IFERROR(__xludf.DUMMYFUNCTION("GOOGLETRANSLATE(B2178, ""fr"", ""en"")"),"Sweat Sweat for autumn-winter I use to hang out at home. For use in autumn and winter because it gives quite warm. Goes to the dryer, even if the label it is not recommended. Hence ironing unnecessary. .")</f>
        <v>Sweat Sweat for autumn-winter I use to hang out at home. For use in autumn and winter because it gives quite warm. Goes to the dryer, even if the label it is not recommended. Hence ironing unnecessary. .</v>
      </c>
    </row>
    <row r="2179">
      <c r="A2179" s="1">
        <v>4.0</v>
      </c>
      <c r="B2179" s="1" t="s">
        <v>2166</v>
      </c>
      <c r="C2179" t="str">
        <f>IFERROR(__xludf.DUMMYFUNCTION("GOOGLETRANSLATE(B2179, ""fr"", ""en"")"),"Good! Well received at temps.Vendeur nice. Thank you for the note. I feel that with time the paper changes and becomes thinner, less fragrant and burns faster.")</f>
        <v>Good! Well received at temps.Vendeur nice. Thank you for the note. I feel that with time the paper changes and becomes thinner, less fragrant and burns faster.</v>
      </c>
    </row>
    <row r="2180">
      <c r="A2180" s="1">
        <v>4.0</v>
      </c>
      <c r="B2180" s="1" t="s">
        <v>2167</v>
      </c>
      <c r="C2180" t="str">
        <f>IFERROR(__xludf.DUMMYFUNCTION("GOOGLETRANSLATE(B2180, ""fr"", ""en"")"),"good article Printer")</f>
        <v>good article Printer</v>
      </c>
    </row>
    <row r="2181">
      <c r="A2181" s="1">
        <v>4.0</v>
      </c>
      <c r="B2181" s="1" t="s">
        <v>2168</v>
      </c>
      <c r="C2181" t="str">
        <f>IFERROR(__xludf.DUMMYFUNCTION("GOOGLETRANSLATE(B2181, ""fr"", ""en"")"),"Plays its role. It can be difficult to judge clearly enough the efficiency of such a product in a bathroom, damp room in the toilet, and meant to be adequately ventilated. Nevertheless, I found an attenuation of humidity sensation in the minutes following"&amp;" the waltz showers. The product is in the form of a blue tray on which a large white puck is fixed and which is covered with a kind of roof allowing passage of moisture. The water collected in the air ends up in the blue bin must be emptied when full. A s"&amp;"mall cap allows easy emptying water. Easy to install, therefore, and use. Just ask him somewhere. In a corner of the bathroom for me. It seems therefore do his job, after use on a full week.")</f>
        <v>Plays its role. It can be difficult to judge clearly enough the efficiency of such a product in a bathroom, damp room in the toilet, and meant to be adequately ventilated. Nevertheless, I found an attenuation of humidity sensation in the minutes following the waltz showers. The product is in the form of a blue tray on which a large white puck is fixed and which is covered with a kind of roof allowing passage of moisture. The water collected in the air ends up in the blue bin must be emptied when full. A small cap allows easy emptying water. Easy to install, therefore, and use. Just ask him somewhere. In a corner of the bathroom for me. It seems therefore do his job, after use on a full week.</v>
      </c>
    </row>
    <row r="2182">
      <c r="A2182" s="1">
        <v>5.0</v>
      </c>
      <c r="B2182" s="1" t="s">
        <v>2169</v>
      </c>
      <c r="C2182" t="str">
        <f>IFERROR(__xludf.DUMMYFUNCTION("GOOGLETRANSLATE(B2182, ""fr"", ""en"")"),"Consistent with the description, and appears robust (see time) For tea, and small size")</f>
        <v>Consistent with the description, and appears robust (see time) For tea, and small size</v>
      </c>
    </row>
    <row r="2183">
      <c r="A2183" s="1">
        <v>5.0</v>
      </c>
      <c r="B2183" s="1" t="s">
        <v>2170</v>
      </c>
      <c r="C2183" t="str">
        <f>IFERROR(__xludf.DUMMYFUNCTION("GOOGLETRANSLATE(B2183, ""fr"", ""en"")"),"Ras everything is perfect Fast, pleasant sound quality at this price is better change everything rather than go in search of a sapphire unusual vintage ... Audiophiles by upgrading")</f>
        <v>Ras everything is perfect Fast, pleasant sound quality at this price is better change everything rather than go in search of a sapphire unusual vintage ... Audiophiles by upgrading</v>
      </c>
    </row>
    <row r="2184">
      <c r="A2184" s="1">
        <v>5.0</v>
      </c>
      <c r="B2184" s="1" t="s">
        <v>2171</v>
      </c>
      <c r="C2184" t="str">
        <f>IFERROR(__xludf.DUMMYFUNCTION("GOOGLETRANSLATE(B2184, ""fr"", ""en"")"),"Good product good size Very good right size good quality and beautiful appearance right product")</f>
        <v>Good product good size Very good right size good quality and beautiful appearance right product</v>
      </c>
    </row>
    <row r="2185">
      <c r="A2185" s="1">
        <v>5.0</v>
      </c>
      <c r="B2185" s="1" t="s">
        <v>2172</v>
      </c>
      <c r="C2185" t="str">
        <f>IFERROR(__xludf.DUMMYFUNCTION("GOOGLETRANSLATE(B2185, ""fr"", ""en"")"),"Very nice water bottle water bottle beautiful, when it's on, it has a beautiful display of light blue, and the temperature of the digital display, the speed of the hot water is very fast, really perfect. My mother also left to help him buy another!")</f>
        <v>Very nice water bottle water bottle beautiful, when it's on, it has a beautiful display of light blue, and the temperature of the digital display, the speed of the hot water is very fast, really perfect. My mother also left to help him buy another!</v>
      </c>
    </row>
    <row r="2186">
      <c r="A2186" s="1">
        <v>5.0</v>
      </c>
      <c r="B2186" s="1" t="s">
        <v>2173</v>
      </c>
      <c r="C2186" t="str">
        <f>IFERROR(__xludf.DUMMYFUNCTION("GOOGLETRANSLATE(B2186, ""fr"", ""en"")"),"Very good behavior in the ears Finally headphones that fit in my ears during my running sessions on foot! They are lightweight deliver quality sound. For the autonomy I have not enough experience to talk about but it's enough for me")</f>
        <v>Very good behavior in the ears Finally headphones that fit in my ears during my running sessions on foot! They are lightweight deliver quality sound. For the autonomy I have not enough experience to talk about but it's enough for me</v>
      </c>
    </row>
    <row r="2187">
      <c r="A2187" s="1">
        <v>5.0</v>
      </c>
      <c r="B2187" s="1" t="s">
        <v>2174</v>
      </c>
      <c r="C2187" t="str">
        <f>IFERROR(__xludf.DUMMYFUNCTION("GOOGLETRANSLATE(B2187, ""fr"", ""en"")"),"Nikel Great product, as in my memories")</f>
        <v>Nikel Great product, as in my memories</v>
      </c>
    </row>
    <row r="2188">
      <c r="A2188" s="1">
        <v>5.0</v>
      </c>
      <c r="B2188" s="1" t="s">
        <v>2175</v>
      </c>
      <c r="C2188" t="str">
        <f>IFERROR(__xludf.DUMMYFUNCTION("GOOGLETRANSLATE(B2188, ""fr"", ""en"")"),"Perfect Matter is superb the perfect size. I love it. I will recommend")</f>
        <v>Perfect Matter is superb the perfect size. I love it. I will recommend</v>
      </c>
    </row>
    <row r="2189">
      <c r="A2189" s="1">
        <v>5.0</v>
      </c>
      <c r="B2189" s="1" t="s">
        <v>2176</v>
      </c>
      <c r="C2189" t="str">
        <f>IFERROR(__xludf.DUMMYFUNCTION("GOOGLETRANSLATE(B2189, ""fr"", ""en"")"),"Very elegant product consistent with the description, the bracelet comes in a nice box and an ideal bag for a gift. The closure system is clever. discreet pretty stylish. A buy and provide")</f>
        <v>Very elegant product consistent with the description, the bracelet comes in a nice box and an ideal bag for a gift. The closure system is clever. discreet pretty stylish. A buy and provide</v>
      </c>
    </row>
    <row r="2190">
      <c r="A2190" s="1">
        <v>5.0</v>
      </c>
      <c r="B2190" s="1" t="s">
        <v>2177</v>
      </c>
      <c r="C2190" t="str">
        <f>IFERROR(__xludf.DUMMYFUNCTION("GOOGLETRANSLATE(B2190, ""fr"", ""en"")"),"Ultra comfort hardly delivered immediately mises.je've worn them several days following, and comfort is unparalleled. I recommend them for their comfort and efficiency, you can face the water, mud, silt and other no problems .I was not tired and no inconv"&amp;"enience of having worn all day.")</f>
        <v>Ultra comfort hardly delivered immediately mises.je've worn them several days following, and comfort is unparalleled. I recommend them for their comfort and efficiency, you can face the water, mud, silt and other no problems .I was not tired and no inconvenience of having worn all day.</v>
      </c>
    </row>
    <row r="2191">
      <c r="A2191" s="1">
        <v>5.0</v>
      </c>
      <c r="B2191" s="1" t="s">
        <v>2178</v>
      </c>
      <c r="C2191" t="str">
        <f>IFERROR(__xludf.DUMMYFUNCTION("GOOGLETRANSLATE(B2191, ""fr"", ""en"")"),"Very good product after 4 months of regular use, I recommend this product. Along is the software update and find good tips on first use. The headphones are comfortable and good quality sound, including during calls in noisy places. A most--have")</f>
        <v>Very good product after 4 months of regular use, I recommend this product. Along is the software update and find good tips on first use. The headphones are comfortable and good quality sound, including during calls in noisy places. A most--have</v>
      </c>
    </row>
    <row r="2192">
      <c r="A2192" s="1">
        <v>5.0</v>
      </c>
      <c r="B2192" s="1" t="s">
        <v>508</v>
      </c>
      <c r="C2192" t="str">
        <f>IFERROR(__xludf.DUMMYFUNCTION("GOOGLETRANSLATE(B2192, ""fr"", ""en"")"),"Very well very well")</f>
        <v>Very well very well</v>
      </c>
    </row>
    <row r="2193">
      <c r="A2193" s="1">
        <v>5.0</v>
      </c>
      <c r="B2193" s="1" t="s">
        <v>2179</v>
      </c>
      <c r="C2193" t="str">
        <f>IFERROR(__xludf.DUMMYFUNCTION("GOOGLETRANSLATE(B2193, ""fr"", ""en"")"),"Excellent !!! Great product very well presented in his little bag frankly I advise all and I do not regret my purchase")</f>
        <v>Excellent !!! Great product very well presented in his little bag frankly I advise all and I do not regret my purchase</v>
      </c>
    </row>
    <row r="2194">
      <c r="A2194" s="1">
        <v>5.0</v>
      </c>
      <c r="B2194" s="1" t="s">
        <v>2180</v>
      </c>
      <c r="C2194" t="str">
        <f>IFERROR(__xludf.DUMMYFUNCTION("GOOGLETRANSLATE(B2194, ""fr"", ""en"")"),"Useful At first I doubted its going to be a different way than I would have imagined, but it is not the mytho it is consistent with the description, but also cheaper than some seller Yippee")</f>
        <v>Useful At first I doubted its going to be a different way than I would have imagined, but it is not the mytho it is consistent with the description, but also cheaper than some seller Yippee</v>
      </c>
    </row>
    <row r="2195">
      <c r="A2195" s="1">
        <v>5.0</v>
      </c>
      <c r="B2195" s="1" t="s">
        <v>2181</v>
      </c>
      <c r="C2195" t="str">
        <f>IFERROR(__xludf.DUMMYFUNCTION("GOOGLETRANSLATE(B2195, ""fr"", ""en"")"),"Very good very good as usual with this brand silicone However a little trouble with time but if the nipple does not crack is of good quality")</f>
        <v>Very good very good as usual with this brand silicone However a little trouble with time but if the nipple does not crack is of good quality</v>
      </c>
    </row>
    <row r="2196">
      <c r="A2196" s="1">
        <v>5.0</v>
      </c>
      <c r="B2196" s="1" t="s">
        <v>2182</v>
      </c>
      <c r="C2196" t="str">
        <f>IFERROR(__xludf.DUMMYFUNCTION("GOOGLETRANSLATE(B2196, ""fr"", ""en"")"),"Excellent value for money I highly recommend this pair BLUETOOTH headset. I was pleasantly surprised by the quality of materials and sound. Small detail connected easily and fast, the charge level is indicated for the connections with the smartphone. Exce"&amp;"llent battery life, in terms of sound quality are good bass and treble too. The case is also a charging base and increases autonomy. I recommend these headphones that can easily compete with the best known brands.")</f>
        <v>Excellent value for money I highly recommend this pair BLUETOOTH headset. I was pleasantly surprised by the quality of materials and sound. Small detail connected easily and fast, the charge level is indicated for the connections with the smartphone. Excellent battery life, in terms of sound quality are good bass and treble too. The case is also a charging base and increases autonomy. I recommend these headphones that can easily compete with the best known brands.</v>
      </c>
    </row>
    <row r="2197">
      <c r="A2197" s="1">
        <v>5.0</v>
      </c>
      <c r="B2197" s="1" t="s">
        <v>2183</v>
      </c>
      <c r="C2197" t="str">
        <f>IFERROR(__xludf.DUMMYFUNCTION("GOOGLETRANSLATE(B2197, ""fr"", ""en"")"),"Use warm jacket in winter.")</f>
        <v>Use warm jacket in winter.</v>
      </c>
    </row>
    <row r="2198">
      <c r="A2198" s="1">
        <v>2.0</v>
      </c>
      <c r="B2198" s="1" t="s">
        <v>2184</v>
      </c>
      <c r="C2198" t="str">
        <f>IFERROR(__xludf.DUMMYFUNCTION("GOOGLETRANSLATE(B2198, ""fr"", ""en"")"),"Not quite conform They do what they are told by contrast the ""click 3 times to the previous song"" does not work at all.")</f>
        <v>Not quite conform They do what they are told by contrast the "click 3 times to the previous song" does not work at all.</v>
      </c>
    </row>
    <row r="2199">
      <c r="A2199" s="1">
        <v>1.0</v>
      </c>
      <c r="B2199" s="1" t="s">
        <v>2185</v>
      </c>
      <c r="C2199" t="str">
        <f>IFERROR(__xludf.DUMMYFUNCTION("GOOGLETRANSLATE(B2199, ""fr"", ""en"")"),"USELESS! Paper ultra thin and raspy. I do not believe for one second to 4 and 5 star reviews, this is not possible. It's useless ...")</f>
        <v>USELESS! Paper ultra thin and raspy. I do not believe for one second to 4 and 5 star reviews, this is not possible. It's useless ...</v>
      </c>
    </row>
    <row r="2200">
      <c r="A2200" s="1">
        <v>1.0</v>
      </c>
      <c r="B2200" s="1" t="s">
        <v>2186</v>
      </c>
      <c r="C2200" t="str">
        <f>IFERROR(__xludf.DUMMYFUNCTION("GOOGLETRANSLATE(B2200, ""fr"", ""en"")"),"Avoid The strap broke less than 24 hours after the wire connecting the elements is too late")</f>
        <v>Avoid The strap broke less than 24 hours after the wire connecting the elements is too late</v>
      </c>
    </row>
    <row r="2201">
      <c r="A2201" s="1">
        <v>3.0</v>
      </c>
      <c r="B2201" s="1" t="s">
        <v>2187</v>
      </c>
      <c r="C2201" t="str">
        <f>IFERROR(__xludf.DUMMYFUNCTION("GOOGLETRANSLATE(B2201, ""fr"", ""en"")"),"LIFE: 1 YEAR! After wearing these Caterpillars almost every day (day), alternating with a different pair of shoes (in the evening), the rear sole of the heel is lifted. The report LIFE TIME / PRICE therefore be taken into consideration when buying.")</f>
        <v>LIFE: 1 YEAR! After wearing these Caterpillars almost every day (day), alternating with a different pair of shoes (in the evening), the rear sole of the heel is lifted. The report LIFE TIME / PRICE therefore be taken into consideration when buying.</v>
      </c>
    </row>
    <row r="2202">
      <c r="A2202" s="1">
        <v>3.0</v>
      </c>
      <c r="B2202" s="1" t="s">
        <v>2188</v>
      </c>
      <c r="C2202" t="str">
        <f>IFERROR(__xludf.DUMMYFUNCTION("GOOGLETRANSLATE(B2202, ""fr"", ""en"")"),"TBS Archer comfortable white tennis usual but this white model scratch is too large and wide in comparison to the black model laces same size (45) thus taking wrong foot! Forced to put a good sole.")</f>
        <v>TBS Archer comfortable white tennis usual but this white model scratch is too large and wide in comparison to the black model laces same size (45) thus taking wrong foot! Forced to put a good sole.</v>
      </c>
    </row>
    <row r="2203">
      <c r="A2203" s="1">
        <v>4.0</v>
      </c>
      <c r="B2203" s="1" t="s">
        <v>2189</v>
      </c>
      <c r="C2203" t="str">
        <f>IFERROR(__xludf.DUMMYFUNCTION("GOOGLETRANSLATE(B2203, ""fr"", ""en"")"),"all nice in my kitchen it does the job")</f>
        <v>all nice in my kitchen it does the job</v>
      </c>
    </row>
    <row r="2204">
      <c r="A2204" s="1">
        <v>4.0</v>
      </c>
      <c r="B2204" s="1" t="s">
        <v>2190</v>
      </c>
      <c r="C2204" t="str">
        <f>IFERROR(__xludf.DUMMYFUNCTION("GOOGLETRANSLATE(B2204, ""fr"", ""en"")"),"practice does good work")</f>
        <v>practice does good work</v>
      </c>
    </row>
    <row r="2205">
      <c r="A2205" s="1">
        <v>4.0</v>
      </c>
      <c r="B2205" s="1" t="s">
        <v>2191</v>
      </c>
      <c r="C2205" t="str">
        <f>IFERROR(__xludf.DUMMYFUNCTION("GOOGLETRANSLATE(B2205, ""fr"", ""en"")"),"Very good buy useful resistant")</f>
        <v>Very good buy useful resistant</v>
      </c>
    </row>
    <row r="2206">
      <c r="A2206" s="1">
        <v>4.0</v>
      </c>
      <c r="B2206" s="1" t="s">
        <v>2192</v>
      </c>
      <c r="C2206" t="str">
        <f>IFERROR(__xludf.DUMMYFUNCTION("GOOGLETRANSLATE(B2206, ""fr"", ""en"")"),"Not bad it's good to have an air vent hole this pacifier, by cons is fast for a newborn anyway.")</f>
        <v>Not bad it's good to have an air vent hole this pacifier, by cons is fast for a newborn anyway.</v>
      </c>
    </row>
    <row r="2207">
      <c r="A2207" s="1">
        <v>5.0</v>
      </c>
      <c r="B2207" s="1" t="s">
        <v>2193</v>
      </c>
      <c r="C2207" t="str">
        <f>IFERROR(__xludf.DUMMYFUNCTION("GOOGLETRANSLATE(B2207, ""fr"", ""en"")"),"Not bad at all. Excellent value product that makes its way more than respectable job. compact size, it is a nice touch for small spaces.")</f>
        <v>Not bad at all. Excellent value product that makes its way more than respectable job. compact size, it is a nice touch for small spaces.</v>
      </c>
    </row>
    <row r="2208">
      <c r="A2208" s="1">
        <v>5.0</v>
      </c>
      <c r="B2208" s="1" t="s">
        <v>2194</v>
      </c>
      <c r="C2208" t="str">
        <f>IFERROR(__xludf.DUMMYFUNCTION("GOOGLETRANSLATE(B2208, ""fr"", ""en"")"),"Indispensable The smell is a little low and it is a little difficult to break down drops (or is it just me who it incorrect) but my god, what a smell! I wanted the essential oil of lemon for so long and it has done its job so go for it!")</f>
        <v>Indispensable The smell is a little low and it is a little difficult to break down drops (or is it just me who it incorrect) but my god, what a smell! I wanted the essential oil of lemon for so long and it has done its job so go for it!</v>
      </c>
    </row>
    <row r="2209">
      <c r="A2209" s="1">
        <v>5.0</v>
      </c>
      <c r="B2209" s="1" t="s">
        <v>2195</v>
      </c>
      <c r="C2209" t="str">
        <f>IFERROR(__xludf.DUMMYFUNCTION("GOOGLETRANSLATE(B2209, ""fr"", ""en"")"),"Excellent convenient earphone. For the price it has a great sound design very cool without being uncomfortable or as flashy buttons are nice and easy to access and mic really well. The quality / price uneven'm getting e recommend after having tried severa"&amp;"l.")</f>
        <v>Excellent convenient earphone. For the price it has a great sound design very cool without being uncomfortable or as flashy buttons are nice and easy to access and mic really well. The quality / price uneven'm getting e recommend after having tried several.</v>
      </c>
    </row>
    <row r="2210">
      <c r="A2210" s="1">
        <v>5.0</v>
      </c>
      <c r="B2210" s="1" t="s">
        <v>2196</v>
      </c>
      <c r="C2210" t="str">
        <f>IFERROR(__xludf.DUMMYFUNCTION("GOOGLETRANSLATE(B2210, ""fr"", ""en"")"),"Very well done diploma in Classics, I chose this book to introduce my children to mythology. One reads about 3 episodes each evening. They claim it! The narration of the myths is child friendly, there is always outstanding at the end of the episode, and a"&amp;" small summary begins the next. We almost finished, I bought the two other volumes to continue. Flawless!")</f>
        <v>Very well done diploma in Classics, I chose this book to introduce my children to mythology. One reads about 3 episodes each evening. They claim it! The narration of the myths is child friendly, there is always outstanding at the end of the episode, and a small summary begins the next. We almost finished, I bought the two other volumes to continue. Flawless!</v>
      </c>
    </row>
    <row r="2211">
      <c r="A2211" s="1">
        <v>5.0</v>
      </c>
      <c r="B2211" s="1" t="s">
        <v>2197</v>
      </c>
      <c r="C2211" t="str">
        <f>IFERROR(__xludf.DUMMYFUNCTION("GOOGLETRANSLATE(B2211, ""fr"", ""en"")"),"Nice Very nice necklace end and discreet! There husband perfectly with an evening gown! I'm happy with this purchase")</f>
        <v>Nice Very nice necklace end and discreet! There husband perfectly with an evening gown! I'm happy with this purchase</v>
      </c>
    </row>
    <row r="2212">
      <c r="A2212" s="1">
        <v>5.0</v>
      </c>
      <c r="B2212" s="1" t="s">
        <v>2198</v>
      </c>
      <c r="C2212" t="str">
        <f>IFERROR(__xludf.DUMMYFUNCTION("GOOGLETRANSLATE(B2212, ""fr"", ""en"")"),"Top pajamas I just tried, it is top, fuid extra, large, cocooning effect guarantee I'll put often, I just ring the belt is staying in my hands, but good is not good serious. I recommend .")</f>
        <v>Top pajamas I just tried, it is top, fuid extra, large, cocooning effect guarantee I'll put often, I just ring the belt is staying in my hands, but good is not good serious. I recommend .</v>
      </c>
    </row>
    <row r="2213">
      <c r="A2213" s="1">
        <v>5.0</v>
      </c>
      <c r="B2213" s="1" t="s">
        <v>2199</v>
      </c>
      <c r="C2213" t="str">
        <f>IFERROR(__xludf.DUMMYFUNCTION("GOOGLETRANSLATE(B2213, ""fr"", ""en"")"),"Good product real product, no complaints")</f>
        <v>Good product real product, no complaints</v>
      </c>
    </row>
    <row r="2214">
      <c r="A2214" s="1">
        <v>5.0</v>
      </c>
      <c r="B2214" s="1" t="s">
        <v>2200</v>
      </c>
      <c r="C2214" t="str">
        <f>IFERROR(__xludf.DUMMYFUNCTION("GOOGLETRANSLATE(B2214, ""fr"", ""en"")"),"Well Satisfied")</f>
        <v>Well Satisfied</v>
      </c>
    </row>
    <row r="2215">
      <c r="A2215" s="1">
        <v>5.0</v>
      </c>
      <c r="B2215" s="1" t="s">
        <v>2201</v>
      </c>
      <c r="C2215" t="str">
        <f>IFERROR(__xludf.DUMMYFUNCTION("GOOGLETRANSLATE(B2215, ""fr"", ""en"")"),"very good product good battery, good sound, children and adults whoop")</f>
        <v>very good product good battery, good sound, children and adults whoop</v>
      </c>
    </row>
    <row r="2216">
      <c r="A2216" s="1">
        <v>5.0</v>
      </c>
      <c r="B2216" s="1" t="s">
        <v>2202</v>
      </c>
      <c r="C2216" t="str">
        <f>IFERROR(__xludf.DUMMYFUNCTION("GOOGLETRANSLATE(B2216, ""fr"", ""en"")"),"Top Great product I recommend hopping.")</f>
        <v>Top Great product I recommend hopping.</v>
      </c>
    </row>
    <row r="2217">
      <c r="A2217" s="1">
        <v>5.0</v>
      </c>
      <c r="B2217" s="1" t="s">
        <v>2203</v>
      </c>
      <c r="C2217" t="str">
        <f>IFERROR(__xludf.DUMMYFUNCTION("GOOGLETRANSLATE(B2217, ""fr"", ""en"")"),"Very beautiful object very beautiful device that makes little noise. It is not very big blow but little capacity ideal for cramped locations. It really decorated the room in addition to holding its primary role of essential oil diffuser")</f>
        <v>Very beautiful object very beautiful device that makes little noise. It is not very big blow but little capacity ideal for cramped locations. It really decorated the room in addition to holding its primary role of essential oil diffuser</v>
      </c>
    </row>
    <row r="2218">
      <c r="A2218" s="1">
        <v>5.0</v>
      </c>
      <c r="B2218" s="1" t="s">
        <v>2204</v>
      </c>
      <c r="C2218" t="str">
        <f>IFERROR(__xludf.DUMMYFUNCTION("GOOGLETRANSLATE(B2218, ""fr"", ""en"")"),"Good value Arrived quickly as always very happy with the pack even if I do not change the two together I bought meantime black ink")</f>
        <v>Good value Arrived quickly as always very happy with the pack even if I do not change the two together I bought meantime black ink</v>
      </c>
    </row>
    <row r="2219">
      <c r="A2219" s="1">
        <v>5.0</v>
      </c>
      <c r="B2219" s="1" t="s">
        <v>2205</v>
      </c>
      <c r="C2219" t="str">
        <f>IFERROR(__xludf.DUMMYFUNCTION("GOOGLETRANSLATE(B2219, ""fr"", ""en"")"),"corresponds to pending Fast delivery of the fragile but appears more effective product than the needle supplied with the disc rotates. My daughter could finally listen modern albums")</f>
        <v>corresponds to pending Fast delivery of the fragile but appears more effective product than the needle supplied with the disc rotates. My daughter could finally listen modern albums</v>
      </c>
    </row>
    <row r="2220">
      <c r="A2220" s="1">
        <v>5.0</v>
      </c>
      <c r="B2220" s="1" t="s">
        <v>2206</v>
      </c>
      <c r="C2220" t="str">
        <f>IFERROR(__xludf.DUMMYFUNCTION("GOOGLETRANSLATE(B2220, ""fr"", ""en"")"),"Good quality ... very satisfied ... Running. .. good running outfits. .. good quality and durable ... seem recommend in smaller size for the shorts to gain compression (M or L ...), high compressive well in M ​​... but because this will really elastic fab"&amp;"rics ... but next time the L ...")</f>
        <v>Good quality ... very satisfied ... Running. .. good running outfits. .. good quality and durable ... seem recommend in smaller size for the shorts to gain compression (M or L ...), high compressive well in M ​​... but because this will really elastic fabrics ... but next time the L ...</v>
      </c>
    </row>
    <row r="2221">
      <c r="A2221" s="1">
        <v>5.0</v>
      </c>
      <c r="B2221" s="1" t="s">
        <v>2207</v>
      </c>
      <c r="C2221" t="str">
        <f>IFERROR(__xludf.DUMMYFUNCTION("GOOGLETRANSLATE(B2221, ""fr"", ""en"")"),"Super good product its very good quality I am very satisfied with this headset and I recommend")</f>
        <v>Super good product its very good quality I am very satisfied with this headset and I recommend</v>
      </c>
    </row>
    <row r="2222">
      <c r="A2222" s="1">
        <v>2.0</v>
      </c>
      <c r="B2222" s="1" t="s">
        <v>2208</v>
      </c>
      <c r="C2222" t="str">
        <f>IFERROR(__xludf.DUMMYFUNCTION("GOOGLETRANSLATE(B2222, ""fr"", ""en"")"),"The brush for the bottle deforms two 15 days. The brush for the bottle deforms two 15 days, which allows no more clean bottles correctly. The small brush to the nipple on the other hand is fine!")</f>
        <v>The brush for the bottle deforms two 15 days. The brush for the bottle deforms two 15 days, which allows no more clean bottles correctly. The small brush to the nipple on the other hand is fine!</v>
      </c>
    </row>
    <row r="2223">
      <c r="A2223" s="1">
        <v>1.0</v>
      </c>
      <c r="B2223" s="1" t="s">
        <v>2209</v>
      </c>
      <c r="C2223" t="str">
        <f>IFERROR(__xludf.DUMMYFUNCTION("GOOGLETRANSLATE(B2223, ""fr"", ""en"")"),"Default Product arrived quickly flush, but the cartridge goes into default, it is useless, and I'm stuck, and I have to buy a cartridge ... Double expense! very dissatisfied")</f>
        <v>Default Product arrived quickly flush, but the cartridge goes into default, it is useless, and I'm stuck, and I have to buy a cartridge ... Double expense! very dissatisfied</v>
      </c>
    </row>
    <row r="2224">
      <c r="A2224" s="1">
        <v>1.0</v>
      </c>
      <c r="B2224" s="1" t="s">
        <v>2210</v>
      </c>
      <c r="C2224" t="str">
        <f>IFERROR(__xludf.DUMMYFUNCTION("GOOGLETRANSLATE(B2224, ""fr"", ""en"")"),"Disappointed Received the next day he took crack at the eyelets")</f>
        <v>Disappointed Received the next day he took crack at the eyelets</v>
      </c>
    </row>
    <row r="2225">
      <c r="A2225" s="1">
        <v>3.0</v>
      </c>
      <c r="B2225" s="1" t="s">
        <v>2211</v>
      </c>
      <c r="C2225" t="str">
        <f>IFERROR(__xludf.DUMMYFUNCTION("GOOGLETRANSLATE(B2225, ""fr"", ""en"")"),"Not a paragon of comfort Note that I have an old Sennheiser wired rather oriented conference / job, particularly light and excellent microphone, which inevitably color my experience. Anyway, I wanted wireless gamer, level and quality / price ratio it seem"&amp;"ed frequently recommended. The pros: - satisfactory sound quality - Solid and sturdy! - Excellent battery life (from my experience, 2 hour session in stereo - &amp; gt; ~ 10% battery) - The software is good, especially his little system dashboard damn good th"&amp;"at could become a permanent resident of my office. - He does not move a hair on the head. You can wheel in your living room without fear (I return below). The blah: - Micro pretty bad (from the Sennheiser under my Discord playmates wondered why I was sudd"&amp;"enly past ""in a basement"" ... at least it has the merit of being clear: '( .) - 7.1 surround sound that distorts (after to be honest I have not tested under conditions that could take advantage of the spatial, so I only saw the negative aspect.) - the i"&amp;"nsulation: the helmet does not fully isolate outside noise (not a problem for me, on the contrary), but stifles still not bad ... I feel that this positioning ""median"" satisfies no one in the end those. favoring immersion max will be disappointed, unlik"&amp;"e those like me who prefer to remain ""available"" to external requests will feel disconnected the arghs: -. Damn it's heavy - the arch could have been a little more! padded. there, it is positioned in the middle of my head it ends up hurting me (because "&amp;"e helmet is heavy, have I said?). - The ""clamp"" hard head! So yes ok, so he does not move a muscle during a session, but I had almost hurt maxillary first time. - Things are getting hot ! Not that the atria are unpleasant but again, why the hell is it a"&amp;"s strong greenhouse ?? Will gamers are supposed to do the pogo in front of their screen? Especially since the coup, if like me you are used to shift a headset to occasionally listen to someone who you speak, you end up with excessive pressure on the skull"&amp;" and it is not comfortable at all .. . in short, I am aware that many of these reactions are due to the fact that I have a particularly light wired ... Indeed, after a few days, I was already getting used to the weight and the wireless convenience is unde"&amp;"niable . I also know that some problems are systematic about wireless headsets (the average microphone, for example). Recognizing my limited representativeness, so I did not too sanctionnerai the product at this stage, but I must admit I'm a little disapp"&amp;"ointed ... I revisiterai perhaps this opinion with time :)")</f>
        <v>Not a paragon of comfort Note that I have an old Sennheiser wired rather oriented conference / job, particularly light and excellent microphone, which inevitably color my experience. Anyway, I wanted wireless gamer, level and quality / price ratio it seemed frequently recommended. The pros: - satisfactory sound quality - Solid and sturdy! - Excellent battery life (from my experience, 2 hour session in stereo - &amp; gt; ~ 10% battery) - The software is good, especially his little system dashboard damn good that could become a permanent resident of my office. - He does not move a hair on the head. You can wheel in your living room without fear (I return below). The blah: - Micro pretty bad (from the Sennheiser under my Discord playmates wondered why I was suddenly past "in a basement" ... at least it has the merit of being clear: '( .) - 7.1 surround sound that distorts (after to be honest I have not tested under conditions that could take advantage of the spatial, so I only saw the negative aspect.) - the insulation: the helmet does not fully isolate outside noise (not a problem for me, on the contrary), but stifles still not bad ... I feel that this positioning "median" satisfies no one in the end those. favoring immersion max will be disappointed, unlike those like me who prefer to remain "available" to external requests will feel disconnected the arghs: -. Damn it's heavy - the arch could have been a little more! padded. there, it is positioned in the middle of my head it ends up hurting me (because e helmet is heavy, have I said?). - The "clamp" hard head! So yes ok, so he does not move a muscle during a session, but I had almost hurt maxillary first time. - Things are getting hot ! Not that the atria are unpleasant but again, why the hell is it as strong greenhouse ?? Will gamers are supposed to do the pogo in front of their screen? Especially since the coup, if like me you are used to shift a headset to occasionally listen to someone who you speak, you end up with excessive pressure on the skull and it is not comfortable at all .. . in short, I am aware that many of these reactions are due to the fact that I have a particularly light wired ... Indeed, after a few days, I was already getting used to the weight and the wireless convenience is undeniable . I also know that some problems are systematic about wireless headsets (the average microphone, for example). Recognizing my limited representativeness, so I did not too sanctionnerai the product at this stage, but I must admit I'm a little disappointed ... I revisiterai perhaps this opinion with time :)</v>
      </c>
    </row>
    <row r="2226">
      <c r="A2226" s="1">
        <v>4.0</v>
      </c>
      <c r="B2226" s="1" t="s">
        <v>2212</v>
      </c>
      <c r="C2226" t="str">
        <f>IFERROR(__xludf.DUMMYFUNCTION("GOOGLETRANSLATE(B2226, ""fr"", ""en"")"),"Good A little loud for my taste")</f>
        <v>Good A little loud for my taste</v>
      </c>
    </row>
    <row r="2227">
      <c r="A2227" s="1">
        <v>4.0</v>
      </c>
      <c r="B2227" s="1" t="s">
        <v>2213</v>
      </c>
      <c r="C2227" t="str">
        <f>IFERROR(__xludf.DUMMYFUNCTION("GOOGLETRANSLATE(B2227, ""fr"", ""en"")"),"Not bad bottle pack very well to start the output of motherhood, even if it is good to clarify that it will invest a little to say to have enough stock bottle for the first month. Loved these products, yet I am used to the Mam brand, very good too, but th"&amp;"e formats of anti-collic bottles bothering me during cleaning, because of their silicone valve, it was completely disassemble Everytime. Here the bottles are light light, though sturdy, enrollment hold up well even after several washings in the dishwasher"&amp;". Teats sound good, but still very soft, suitable for small mouths.")</f>
        <v>Not bad bottle pack very well to start the output of motherhood, even if it is good to clarify that it will invest a little to say to have enough stock bottle for the first month. Loved these products, yet I am used to the Mam brand, very good too, but the formats of anti-collic bottles bothering me during cleaning, because of their silicone valve, it was completely disassemble Everytime. Here the bottles are light light, though sturdy, enrollment hold up well even after several washings in the dishwasher. Teats sound good, but still very soft, suitable for small mouths.</v>
      </c>
    </row>
    <row r="2228">
      <c r="A2228" s="1">
        <v>4.0</v>
      </c>
      <c r="B2228" s="1" t="s">
        <v>2214</v>
      </c>
      <c r="C2228" t="str">
        <f>IFERROR(__xludf.DUMMYFUNCTION("GOOGLETRANSLATE(B2228, ""fr"", ""en"")"),"Superb .. but beautiful necklace and loved Caution was the price reduction is not real The rest of the product made in china sham")</f>
        <v>Superb .. but beautiful necklace and loved Caution was the price reduction is not real The rest of the product made in china sham</v>
      </c>
    </row>
    <row r="2229">
      <c r="A2229" s="1">
        <v>4.0</v>
      </c>
      <c r="B2229" s="1" t="s">
        <v>2215</v>
      </c>
      <c r="C2229" t="str">
        <f>IFERROR(__xludf.DUMMYFUNCTION("GOOGLETRANSLATE(B2229, ""fr"", ""en"")"),"Great helmet Great helmet hurts my ears when one is a little too long for me with")</f>
        <v>Great helmet Great helmet hurts my ears when one is a little too long for me with</v>
      </c>
    </row>
    <row r="2230">
      <c r="A2230" s="1">
        <v>5.0</v>
      </c>
      <c r="B2230" s="1" t="s">
        <v>2216</v>
      </c>
      <c r="C2230" t="str">
        <f>IFERROR(__xludf.DUMMYFUNCTION("GOOGLETRANSLATE(B2230, ""fr"", ""en"")"),"Perfect Very beautiful design, and comfortable. I preferred changed soles to put leather shoes because my son sweats too legs and c is nickel")</f>
        <v>Perfect Very beautiful design, and comfortable. I preferred changed soles to put leather shoes because my son sweats too legs and c is nickel</v>
      </c>
    </row>
    <row r="2231">
      <c r="A2231" s="1">
        <v>5.0</v>
      </c>
      <c r="B2231" s="1" t="s">
        <v>2217</v>
      </c>
      <c r="C2231" t="str">
        <f>IFERROR(__xludf.DUMMYFUNCTION("GOOGLETRANSLATE(B2231, ""fr"", ""en"")"),"Very good book series of books easy to read.")</f>
        <v>Very good book series of books easy to read.</v>
      </c>
    </row>
    <row r="2232">
      <c r="A2232" s="1">
        <v>5.0</v>
      </c>
      <c r="B2232" s="1" t="s">
        <v>2218</v>
      </c>
      <c r="C2232" t="str">
        <f>IFERROR(__xludf.DUMMYFUNCTION("GOOGLETRANSLATE(B2232, ""fr"", ""en"")"),"Very satisfied The box is very pretty. Jewelry is well finished, I was afraid they make toys, but no, they are really good.")</f>
        <v>Very satisfied The box is very pretty. Jewelry is well finished, I was afraid they make toys, but no, they are really good.</v>
      </c>
    </row>
    <row r="2233">
      <c r="A2233" s="1">
        <v>5.0</v>
      </c>
      <c r="B2233" s="1" t="s">
        <v>2219</v>
      </c>
      <c r="C2233" t="str">
        <f>IFERROR(__xludf.DUMMYFUNCTION("GOOGLETRANSLATE(B2233, ""fr"", ""en"")"),"I love this pendant This jewel is very comfortable to wear, good size, it helps to have a beautiful pendant neck, very classy. A small light touch. Very happy")</f>
        <v>I love this pendant This jewel is very comfortable to wear, good size, it helps to have a beautiful pendant neck, very classy. A small light touch. Very happy</v>
      </c>
    </row>
    <row r="2234">
      <c r="A2234" s="1">
        <v>5.0</v>
      </c>
      <c r="B2234" s="1" t="s">
        <v>2220</v>
      </c>
      <c r="C2234" t="str">
        <f>IFERROR(__xludf.DUMMYFUNCTION("GOOGLETRANSLATE(B2234, ""fr"", ""en"")"),"Top ! Big fan of MMA products I highly recommend!")</f>
        <v>Top ! Big fan of MMA products I highly recommend!</v>
      </c>
    </row>
    <row r="2235">
      <c r="A2235" s="1">
        <v>5.0</v>
      </c>
      <c r="B2235" s="1" t="s">
        <v>2221</v>
      </c>
      <c r="C2235" t="str">
        <f>IFERROR(__xludf.DUMMYFUNCTION("GOOGLETRANSLATE(B2235, ""fr"", ""en"")"),"Good Good")</f>
        <v>Good Good</v>
      </c>
    </row>
    <row r="2236">
      <c r="A2236" s="1">
        <v>5.0</v>
      </c>
      <c r="B2236" s="1" t="s">
        <v>2222</v>
      </c>
      <c r="C2236" t="str">
        <f>IFERROR(__xludf.DUMMYFUNCTION("GOOGLETRANSLATE(B2236, ""fr"", ""en"")"),"If Backpack bag can be used for good things, I use it for my sport but also to go o work. I can put my laptop, my helmet all my chargers, some books, .. shoes. Easy does well.")</f>
        <v>If Backpack bag can be used for good things, I use it for my sport but also to go o work. I can put my laptop, my helmet all my chargers, some books, .. shoes. Easy does well.</v>
      </c>
    </row>
    <row r="2237">
      <c r="A2237" s="1">
        <v>5.0</v>
      </c>
      <c r="B2237" s="1" t="s">
        <v>2223</v>
      </c>
      <c r="C2237" t="str">
        <f>IFERROR(__xludf.DUMMYFUNCTION("GOOGLETRANSLATE(B2237, ""fr"", ""en"")"),"format If I order this product is that it suits me, if I do not take. That suits me to note is that I do every day; at my age (85 passed) I tend to forget.")</f>
        <v>format If I order this product is that it suits me, if I do not take. That suits me to note is that I do every day; at my age (85 passed) I tend to forget.</v>
      </c>
    </row>
    <row r="2238">
      <c r="A2238" s="1">
        <v>5.0</v>
      </c>
      <c r="B2238" s="1" t="s">
        <v>2224</v>
      </c>
      <c r="C2238" t="str">
        <f>IFERROR(__xludf.DUMMYFUNCTION("GOOGLETRANSLATE(B2238, ""fr"", ""en"")"),"Watch Casio Super nice watch is my second I ordered a white and one black I mixed the two and I have two watches unique.la first is black and white in the center crown and second inverted 👍.")</f>
        <v>Watch Casio Super nice watch is my second I ordered a white and one black I mixed the two and I have two watches unique.la first is black and white in the center crown and second inverted 👍.</v>
      </c>
    </row>
    <row r="2239">
      <c r="A2239" s="1">
        <v>5.0</v>
      </c>
      <c r="B2239" s="1" t="s">
        <v>2225</v>
      </c>
      <c r="C2239" t="str">
        <f>IFERROR(__xludf.DUMMYFUNCTION("GOOGLETRANSLATE(B2239, ""fr"", ""en"")"),"Best Impec boots I've ever had. Very comfortable, flexible and resilient. Plan a waterproofing spray, they are worth it!")</f>
        <v>Best Impec boots I've ever had. Very comfortable, flexible and resilient. Plan a waterproofing spray, they are worth it!</v>
      </c>
    </row>
    <row r="2240">
      <c r="A2240" s="1">
        <v>5.0</v>
      </c>
      <c r="B2240" s="1" t="s">
        <v>224</v>
      </c>
      <c r="C2240" t="str">
        <f>IFERROR(__xludf.DUMMYFUNCTION("GOOGLETRANSLATE(B2240, ""fr"", ""en"")"),"perfect perfect")</f>
        <v>perfect perfect</v>
      </c>
    </row>
    <row r="2241">
      <c r="A2241" s="1">
        <v>5.0</v>
      </c>
      <c r="B2241" s="1" t="s">
        <v>2226</v>
      </c>
      <c r="C2241" t="str">
        <f>IFERROR(__xludf.DUMMYFUNCTION("GOOGLETRANSLATE(B2241, ""fr"", ""en"")"),"Nickel Delivery made 1 day before 👌. Product (shoes for my son), perfect.")</f>
        <v>Nickel Delivery made 1 day before 👌. Product (shoes for my son), perfect.</v>
      </c>
    </row>
    <row r="2242">
      <c r="A2242" s="1">
        <v>5.0</v>
      </c>
      <c r="B2242" s="1" t="s">
        <v>2227</v>
      </c>
      <c r="C2242" t="str">
        <f>IFERROR(__xludf.DUMMYFUNCTION("GOOGLETRANSLATE(B2242, ""fr"", ""en"")"),"Buy Perfect definitely are two very simple nipples that fulfill their function I can not say anything more it adapts very well to bottle Mam and other standard brands")</f>
        <v>Buy Perfect definitely are two very simple nipples that fulfill their function I can not say anything more it adapts very well to bottle Mam and other standard brands</v>
      </c>
    </row>
    <row r="2243">
      <c r="A2243" s="1">
        <v>5.0</v>
      </c>
      <c r="B2243" s="1" t="s">
        <v>2228</v>
      </c>
      <c r="C2243" t="str">
        <f>IFERROR(__xludf.DUMMYFUNCTION("GOOGLETRANSLATE(B2243, ""fr"", ""en"")"),"To recommend ? a bit fragile, it's pretty disposable product but after a little more than five months of utilisati9n substance oxidizes and turns green. I do not know if I'll use it over a long time of not appealing and it may be toxic damage ....")</f>
        <v>To recommend ? a bit fragile, it's pretty disposable product but after a little more than five months of utilisati9n substance oxidizes and turns green. I do not know if I'll use it over a long time of not appealing and it may be toxic damage ....</v>
      </c>
    </row>
    <row r="2244">
      <c r="A2244" s="1">
        <v>5.0</v>
      </c>
      <c r="B2244" s="1" t="s">
        <v>2229</v>
      </c>
      <c r="C2244" t="str">
        <f>IFERROR(__xludf.DUMMYFUNCTION("GOOGLETRANSLATE(B2244, ""fr"", ""en"")"),"Very good headphones I recommend Super helmet nickel features (Bluetooth) very well as planned already knowing the item before buying I knew what to expect déjà.Bonne autonomy, especially good sounding bass and the interaction of music and different from "&amp;"one ear to another or always sounds a small effect as musiques.Couleur cute and discreet pale pink, I aime.Pour the moment held all the promise hopefully keep very long.")</f>
        <v>Very good headphones I recommend Super helmet nickel features (Bluetooth) very well as planned already knowing the item before buying I knew what to expect déjà.Bonne autonomy, especially good sounding bass and the interaction of music and different from one ear to another or always sounds a small effect as musiques.Couleur cute and discreet pale pink, I aime.Pour the moment held all the promise hopefully keep very long.</v>
      </c>
    </row>
    <row r="2245">
      <c r="A2245" s="1">
        <v>2.0</v>
      </c>
      <c r="B2245" s="1" t="s">
        <v>2230</v>
      </c>
      <c r="C2245" t="str">
        <f>IFERROR(__xludf.DUMMYFUNCTION("GOOGLETRANSLATE(B2245, ""fr"", ""en"")"),"Poor quality in photos looked better")</f>
        <v>Poor quality in photos looked better</v>
      </c>
    </row>
    <row r="2246">
      <c r="A2246" s="1">
        <v>1.0</v>
      </c>
      <c r="B2246" s="1" t="s">
        <v>2231</v>
      </c>
      <c r="C2246" t="str">
        <f>IFERROR(__xludf.DUMMYFUNCTION("GOOGLETRANSLATE(B2246, ""fr"", ""en"")"),"More than blah ... Very disappointed with the quality. C is the same material as for items of costume or dress up doll. And not hot at all. closet background Directorate ...")</f>
        <v>More than blah ... Very disappointed with the quality. C is the same material as for items of costume or dress up doll. And not hot at all. closet background Directorate ...</v>
      </c>
    </row>
    <row r="2247">
      <c r="A2247" s="1">
        <v>3.0</v>
      </c>
      <c r="B2247" s="1" t="s">
        <v>2232</v>
      </c>
      <c r="C2247" t="str">
        <f>IFERROR(__xludf.DUMMYFUNCTION("GOOGLETRANSLATE(B2247, ""fr"", ""en"")"),"Meets the photo Stylish watch with a beautiful aesthetic, even if it is thicker than it looks. I think for that price it should not complain, it works perfectly.")</f>
        <v>Meets the photo Stylish watch with a beautiful aesthetic, even if it is thicker than it looks. I think for that price it should not complain, it works perfectly.</v>
      </c>
    </row>
    <row r="2248">
      <c r="A2248" s="1">
        <v>3.0</v>
      </c>
      <c r="B2248" s="1" t="s">
        <v>2233</v>
      </c>
      <c r="C2248" t="str">
        <f>IFERROR(__xludf.DUMMYFUNCTION("GOOGLETRANSLATE(B2248, ""fr"", ""en"")"),"satisfied very good article I like I recommend to all who want to purchase it is highly recommended not to hesitate is the quality")</f>
        <v>satisfied very good article I like I recommend to all who want to purchase it is highly recommended not to hesitate is the quality</v>
      </c>
    </row>
    <row r="2249">
      <c r="A2249" s="1">
        <v>4.0</v>
      </c>
      <c r="B2249" s="1" t="s">
        <v>2234</v>
      </c>
      <c r="C2249" t="str">
        <f>IFERROR(__xludf.DUMMYFUNCTION("GOOGLETRANSLATE(B2249, ""fr"", ""en"")"),"disappointed hello I have received my order was ripped cardboard morning thus q laundry stopper and protective plastic bag a quarter of laundry a part of package and during delivery I do not follow very glad I ' hope the prochiene control it will be much "&amp;"pack")</f>
        <v>disappointed hello I have received my order was ripped cardboard morning thus q laundry stopper and protective plastic bag a quarter of laundry a part of package and during delivery I do not follow very glad I ' hope the prochiene control it will be much pack</v>
      </c>
    </row>
    <row r="2250">
      <c r="A2250" s="1">
        <v>4.0</v>
      </c>
      <c r="B2250" s="1" t="s">
        <v>2235</v>
      </c>
      <c r="C2250" t="str">
        <f>IFERROR(__xludf.DUMMYFUNCTION("GOOGLETRANSLATE(B2250, ""fr"", ""en"")"),"Not bad but ...... Ok but watch size too big! So 2 sizes less to be fine!")</f>
        <v>Not bad but ...... Ok but watch size too big! So 2 sizes less to be fine!</v>
      </c>
    </row>
    <row r="2251">
      <c r="A2251" s="1">
        <v>4.0</v>
      </c>
      <c r="B2251" s="1" t="s">
        <v>2236</v>
      </c>
      <c r="C2251" t="str">
        <f>IFERROR(__xludf.DUMMYFUNCTION("GOOGLETRANSLATE(B2251, ""fr"", ""en"")"),"I recommend top but I find it a bit small for a large family")</f>
        <v>I recommend top but I find it a bit small for a large family</v>
      </c>
    </row>
    <row r="2252">
      <c r="A2252" s="1">
        <v>4.0</v>
      </c>
      <c r="B2252" s="1" t="s">
        <v>2237</v>
      </c>
      <c r="C2252" t="str">
        <f>IFERROR(__xludf.DUMMYFUNCTION("GOOGLETRANSLATE(B2252, ""fr"", ""en"")"),"control well received very good qualities and flexibility guaranteed advance")</f>
        <v>control well received very good qualities and flexibility guaranteed advance</v>
      </c>
    </row>
    <row r="2253">
      <c r="A2253" s="1">
        <v>5.0</v>
      </c>
      <c r="B2253" s="1" t="s">
        <v>2238</v>
      </c>
      <c r="C2253" t="str">
        <f>IFERROR(__xludf.DUMMYFUNCTION("GOOGLETRANSLATE(B2253, ""fr"", ""en"")"),"Instructive Birthday Gift")</f>
        <v>Instructive Birthday Gift</v>
      </c>
    </row>
    <row r="2254">
      <c r="A2254" s="1">
        <v>5.0</v>
      </c>
      <c r="B2254" s="1" t="s">
        <v>2239</v>
      </c>
      <c r="C2254" t="str">
        <f>IFERROR(__xludf.DUMMYFUNCTION("GOOGLETRANSLATE(B2254, ""fr"", ""en"")"),"Pleasant Hello community, I just bought her wireless headphones for sports practice, especially weight training. The earphones are suitable for practical and well held ears. The sound is nice, however I can not tell you the battery capacity by lack of tim"&amp;"e of use. They are sold with a very tile protective cover. I recommend !")</f>
        <v>Pleasant Hello community, I just bought her wireless headphones for sports practice, especially weight training. The earphones are suitable for practical and well held ears. The sound is nice, however I can not tell you the battery capacity by lack of time of use. They are sold with a very tile protective cover. I recommend !</v>
      </c>
    </row>
    <row r="2255">
      <c r="A2255" s="1">
        <v>5.0</v>
      </c>
      <c r="B2255" s="1" t="s">
        <v>2240</v>
      </c>
      <c r="C2255" t="str">
        <f>IFERROR(__xludf.DUMMYFUNCTION("GOOGLETRANSLATE(B2255, ""fr"", ""en"")"),"perfect a very good support and good fit for my height - I take the A 105 without reinforcement when I found - is not in the torso and for the sport, it's perfect")</f>
        <v>perfect a very good support and good fit for my height - I take the A 105 without reinforcement when I found - is not in the torso and for the sport, it's perfect</v>
      </c>
    </row>
    <row r="2256">
      <c r="A2256" s="1">
        <v>5.0</v>
      </c>
      <c r="B2256" s="1" t="s">
        <v>2241</v>
      </c>
      <c r="C2256" t="str">
        <f>IFERROR(__xludf.DUMMYFUNCTION("GOOGLETRANSLATE(B2256, ""fr"", ""en"")"),"Very good value for money Beautiful, comfortable, ms very warm, very good for the winter.")</f>
        <v>Very good value for money Beautiful, comfortable, ms very warm, very good for the winter.</v>
      </c>
    </row>
    <row r="2257">
      <c r="A2257" s="1">
        <v>5.0</v>
      </c>
      <c r="B2257" s="1" t="s">
        <v>2242</v>
      </c>
      <c r="C2257" t="str">
        <f>IFERROR(__xludf.DUMMYFUNCTION("GOOGLETRANSLATE(B2257, ""fr"", ""en"")"),"Pretty model and good quality. I offered my daughter for Christmas since she never leaves and gold is stuck.")</f>
        <v>Pretty model and good quality. I offered my daughter for Christmas since she never leaves and gold is stuck.</v>
      </c>
    </row>
    <row r="2258">
      <c r="A2258" s="1">
        <v>5.0</v>
      </c>
      <c r="B2258" s="1" t="s">
        <v>2243</v>
      </c>
      <c r="C2258" t="str">
        <f>IFERROR(__xludf.DUMMYFUNCTION("GOOGLETRANSLATE(B2258, ""fr"", ""en"")"),"RAS Purchased for a micro ZOOM H1 ... fits well and does what it is intended")</f>
        <v>RAS Purchased for a micro ZOOM H1 ... fits well and does what it is intended</v>
      </c>
    </row>
    <row r="2259">
      <c r="A2259" s="1">
        <v>5.0</v>
      </c>
      <c r="B2259" s="1" t="s">
        <v>2244</v>
      </c>
      <c r="C2259" t="str">
        <f>IFERROR(__xludf.DUMMYFUNCTION("GOOGLETRANSLATE(B2259, ""fr"", ""en"")"),"Very small and yet so powerful! Dictaphone extremely easy to use (I have not even used the manual). Saves really well and faithfully reproduce voices and sounds. Transfer files easily. I can only recommend it!")</f>
        <v>Very small and yet so powerful! Dictaphone extremely easy to use (I have not even used the manual). Saves really well and faithfully reproduce voices and sounds. Transfer files easily. I can only recommend it!</v>
      </c>
    </row>
    <row r="2260">
      <c r="A2260" s="1">
        <v>5.0</v>
      </c>
      <c r="B2260" s="1" t="s">
        <v>2245</v>
      </c>
      <c r="C2260" t="str">
        <f>IFERROR(__xludf.DUMMYFUNCTION("GOOGLETRANSLATE(B2260, ""fr"", ""en"")"),"Perfect Just the kind of album I wanted. The cover is very thick and star patterns are a little extra thickness, they are very friendly. The pockets for the 10/15 pictures are the right size and I especially like the part annotation can next to each plast"&amp;"ic bag.")</f>
        <v>Perfect Just the kind of album I wanted. The cover is very thick and star patterns are a little extra thickness, they are very friendly. The pockets for the 10/15 pictures are the right size and I especially like the part annotation can next to each plastic bag.</v>
      </c>
    </row>
    <row r="2261">
      <c r="A2261" s="1">
        <v>5.0</v>
      </c>
      <c r="B2261" s="1" t="s">
        <v>2246</v>
      </c>
      <c r="C2261" t="str">
        <f>IFERROR(__xludf.DUMMYFUNCTION("GOOGLETRANSLATE(B2261, ""fr"", ""en"")"),"Although Article perfect, I recommend without hesitation.")</f>
        <v>Although Article perfect, I recommend without hesitation.</v>
      </c>
    </row>
    <row r="2262">
      <c r="A2262" s="1">
        <v>5.0</v>
      </c>
      <c r="B2262" s="1" t="s">
        <v>2247</v>
      </c>
      <c r="C2262" t="str">
        <f>IFERROR(__xludf.DUMMYFUNCTION("GOOGLETRANSLATE(B2262, ""fr"", ""en"")"),"perfect Sends fast Bluetooth headsets working properly connects easily my my iPhone and my MacBook my business phone Samsung I recommend")</f>
        <v>perfect Sends fast Bluetooth headsets working properly connects easily my my iPhone and my MacBook my business phone Samsung I recommend</v>
      </c>
    </row>
    <row r="2263">
      <c r="A2263" s="1">
        <v>5.0</v>
      </c>
      <c r="B2263" s="1" t="s">
        <v>2248</v>
      </c>
      <c r="C2263" t="str">
        <f>IFERROR(__xludf.DUMMYFUNCTION("GOOGLETRANSLATE(B2263, ""fr"", ""en"")"),"Very effective ! I am very happy this microphone, simple and effective. The sound is excellent and even in strong winds, with the Bonette, the quality remains the same. I use it for 3 weeks now remains to see its durability.")</f>
        <v>Very effective ! I am very happy this microphone, simple and effective. The sound is excellent and even in strong winds, with the Bonette, the quality remains the same. I use it for 3 weeks now remains to see its durability.</v>
      </c>
    </row>
    <row r="2264">
      <c r="A2264" s="1">
        <v>5.0</v>
      </c>
      <c r="B2264" s="1" t="s">
        <v>2249</v>
      </c>
      <c r="C2264" t="str">
        <f>IFERROR(__xludf.DUMMYFUNCTION("GOOGLETRANSLATE(B2264, ""fr"", ""en"")"),"Beautiful attractive finery finery, all very pretty. Obtained during sales, I am very satisfied. I often put with a dress.")</f>
        <v>Beautiful attractive finery finery, all very pretty. Obtained during sales, I am very satisfied. I often put with a dress.</v>
      </c>
    </row>
    <row r="2265">
      <c r="A2265" s="1">
        <v>5.0</v>
      </c>
      <c r="B2265" s="1" t="s">
        <v>2250</v>
      </c>
      <c r="C2265" t="str">
        <f>IFERROR(__xludf.DUMMYFUNCTION("GOOGLETRANSLATE(B2265, ""fr"", ""en"")"),"Good product product line with our expectation")</f>
        <v>Good product product line with our expectation</v>
      </c>
    </row>
    <row r="2266">
      <c r="A2266" s="1">
        <v>5.0</v>
      </c>
      <c r="B2266" s="1" t="s">
        <v>2251</v>
      </c>
      <c r="C2266" t="str">
        <f>IFERROR(__xludf.DUMMYFUNCTION("GOOGLETRANSLATE(B2266, ""fr"", ""en"")"),"ok flush")</f>
        <v>ok flush</v>
      </c>
    </row>
    <row r="2267">
      <c r="A2267" s="1">
        <v>5.0</v>
      </c>
      <c r="B2267" s="1" t="s">
        <v>2252</v>
      </c>
      <c r="C2267" t="str">
        <f>IFERROR(__xludf.DUMMYFUNCTION("GOOGLETRANSLATE(B2267, ""fr"", ""en"")"),"Ideal shoes. Purchased as shoes to work on site. Ideal for outdoor use. Very comfortable, waterproof, lightweight. Perfect! Would recommend to any worker.")</f>
        <v>Ideal shoes. Purchased as shoes to work on site. Ideal for outdoor use. Very comfortable, waterproof, lightweight. Perfect! Would recommend to any worker.</v>
      </c>
    </row>
    <row r="2268">
      <c r="A2268" s="1">
        <v>2.0</v>
      </c>
      <c r="B2268" s="1" t="s">
        <v>2253</v>
      </c>
      <c r="C2268" t="str">
        <f>IFERROR(__xludf.DUMMYFUNCTION("GOOGLETRANSLATE(B2268, ""fr"", ""en"")"),"Not good teat received Written information on the presentation mentioned a medium speed and I received a pacifier 1 .... I have to buy other teats")</f>
        <v>Not good teat received Written information on the presentation mentioned a medium speed and I received a pacifier 1 .... I have to buy other teats</v>
      </c>
    </row>
    <row r="2269">
      <c r="A2269" s="1">
        <v>1.0</v>
      </c>
      <c r="B2269" s="1" t="s">
        <v>2254</v>
      </c>
      <c r="C2269" t="str">
        <f>IFERROR(__xludf.DUMMYFUNCTION("GOOGLETRANSLATE(B2269, ""fr"", ""en"")"),"Remote diffuser essential oils Hello, my camera worked great until I had wanted to change the battery. Unable to open the cell compartment and now everything is stuck. I am dissatisfied with this product. Finally, instead of putting a remote control, on /"&amp;" off button would be more useful.")</f>
        <v>Remote diffuser essential oils Hello, my camera worked great until I had wanted to change the battery. Unable to open the cell compartment and now everything is stuck. I am dissatisfied with this product. Finally, instead of putting a remote control, on / off button would be more useful.</v>
      </c>
    </row>
    <row r="2270">
      <c r="A2270" s="1">
        <v>1.0</v>
      </c>
      <c r="B2270" s="1" t="s">
        <v>2255</v>
      </c>
      <c r="C2270" t="str">
        <f>IFERROR(__xludf.DUMMYFUNCTION("GOOGLETRANSLATE(B2270, ""fr"", ""en"")"),"Display defective after just over a year as others have reported, characters half is no longer visible, this after 14 days ... The watch is guaranteed 24 months, more than to try to obtain warranty ...")</f>
        <v>Display defective after just over a year as others have reported, characters half is no longer visible, this after 14 days ... The watch is guaranteed 24 months, more than to try to obtain warranty ...</v>
      </c>
    </row>
    <row r="2271">
      <c r="A2271" s="1">
        <v>3.0</v>
      </c>
      <c r="B2271" s="1" t="s">
        <v>2256</v>
      </c>
      <c r="C2271" t="str">
        <f>IFERROR(__xludf.DUMMYFUNCTION("GOOGLETRANSLATE(B2271, ""fr"", ""en"")"),"medium tape which rips across the dice that looks a bit maliciously take patience. If it sticks and it including like after several months in dry cold (high altitude).")</f>
        <v>medium tape which rips across the dice that looks a bit maliciously take patience. If it sticks and it including like after several months in dry cold (high altitude).</v>
      </c>
    </row>
    <row r="2272">
      <c r="A2272" s="1">
        <v>3.0</v>
      </c>
      <c r="B2272" s="1" t="s">
        <v>2257</v>
      </c>
      <c r="C2272" t="str">
        <f>IFERROR(__xludf.DUMMYFUNCTION("GOOGLETRANSLATE(B2272, ""fr"", ""en"")"),"Gw 2pcs charms chain spacer Hello, I'm not disappointed with the gifts I gave my child.")</f>
        <v>Gw 2pcs charms chain spacer Hello, I'm not disappointed with the gifts I gave my child.</v>
      </c>
    </row>
    <row r="2273">
      <c r="A2273" s="1">
        <v>4.0</v>
      </c>
      <c r="B2273" s="1" t="s">
        <v>2258</v>
      </c>
      <c r="C2273" t="str">
        <f>IFERROR(__xludf.DUMMYFUNCTION("GOOGLETRANSLATE(B2273, ""fr"", ""en"")"),"ok cool")</f>
        <v>ok cool</v>
      </c>
    </row>
    <row r="2274">
      <c r="A2274" s="1">
        <v>4.0</v>
      </c>
      <c r="B2274" s="1" t="s">
        <v>2259</v>
      </c>
      <c r="C2274" t="str">
        <f>IFERROR(__xludf.DUMMYFUNCTION("GOOGLETRANSLATE(B2274, ""fr"", ""en"")"),"good pockets This is the third time I order this article and pockets always suit me much. They are used with a small laminator bought cheap and they do not move. I appreciate their outfit. They do not take off, and do not form folds. A very good value for"&amp;" money.")</f>
        <v>good pockets This is the third time I order this article and pockets always suit me much. They are used with a small laminator bought cheap and they do not move. I appreciate their outfit. They do not take off, and do not form folds. A very good value for money.</v>
      </c>
    </row>
    <row r="2275">
      <c r="A2275" s="1">
        <v>4.0</v>
      </c>
      <c r="B2275" s="1" t="s">
        <v>2260</v>
      </c>
      <c r="C2275" t="str">
        <f>IFERROR(__xludf.DUMMYFUNCTION("GOOGLETRANSLATE(B2275, ""fr"", ""en"")"),"bottle very satisfied with the product, but very disappointed that the deliveryman m threw my package in the garden because absent at the time of delivery; Frankly, anyone could've pass over the portal and fly package. Thank you")</f>
        <v>bottle very satisfied with the product, but very disappointed that the deliveryman m threw my package in the garden because absent at the time of delivery; Frankly, anyone could've pass over the portal and fly package. Thank you</v>
      </c>
    </row>
    <row r="2276">
      <c r="A2276" s="1">
        <v>4.0</v>
      </c>
      <c r="B2276" s="1" t="s">
        <v>2261</v>
      </c>
      <c r="C2276" t="str">
        <f>IFERROR(__xludf.DUMMYFUNCTION("GOOGLETRANSLATE(B2276, ""fr"", ""en"")"),"Satisfied Small, light, but I was faster in the past. Fulfills its office modest but significant for who wants his tea waking at hotel")</f>
        <v>Satisfied Small, light, but I was faster in the past. Fulfills its office modest but significant for who wants his tea waking at hotel</v>
      </c>
    </row>
    <row r="2277">
      <c r="A2277" s="1">
        <v>4.0</v>
      </c>
      <c r="B2277" s="1" t="s">
        <v>2262</v>
      </c>
      <c r="C2277" t="str">
        <f>IFERROR(__xludf.DUMMYFUNCTION("GOOGLETRANSLATE(B2277, ""fr"", ""en"")"),"Animal Print Sweater Sweater cut it right, even a little big. Attention handwash, which may be binding. For me, it is perfect for use as I intend to do.")</f>
        <v>Animal Print Sweater Sweater cut it right, even a little big. Attention handwash, which may be binding. For me, it is perfect for use as I intend to do.</v>
      </c>
    </row>
    <row r="2278">
      <c r="A2278" s="1">
        <v>5.0</v>
      </c>
      <c r="B2278" s="1" t="s">
        <v>2263</v>
      </c>
      <c r="C2278" t="str">
        <f>IFERROR(__xludf.DUMMYFUNCTION("GOOGLETRANSLATE(B2278, ""fr"", ""en"")"),"Practical and comfortable Used to Nordic walking. It is a pleasure to play sports and listen to music wirelessly! The installation is easy. The sound quality is good. Orders are accessible to the listener right. This helmet is more comfortable than-ear an"&amp;"d I think it is best to keep their hearing ability. I recommend.")</f>
        <v>Practical and comfortable Used to Nordic walking. It is a pleasure to play sports and listen to music wirelessly! The installation is easy. The sound quality is good. Orders are accessible to the listener right. This helmet is more comfortable than-ear and I think it is best to keep their hearing ability. I recommend.</v>
      </c>
    </row>
    <row r="2279">
      <c r="A2279" s="1">
        <v>5.0</v>
      </c>
      <c r="B2279" s="1" t="s">
        <v>2264</v>
      </c>
      <c r="C2279" t="str">
        <f>IFERROR(__xludf.DUMMYFUNCTION("GOOGLETRANSLATE(B2279, ""fr"", ""en"")"),"Although surprised Puma comfortable well suited to my size and robust I recommend")</f>
        <v>Although surprised Puma comfortable well suited to my size and robust I recommend</v>
      </c>
    </row>
    <row r="2280">
      <c r="A2280" s="1">
        <v>5.0</v>
      </c>
      <c r="B2280" s="1" t="s">
        <v>2265</v>
      </c>
      <c r="C2280" t="str">
        <f>IFERROR(__xludf.DUMMYFUNCTION("GOOGLETRANSLATE(B2280, ""fr"", ""en"")"),"Adapted My son making basketball wished this accessory, it seems that this brand is known for its quality, we'll see. The size M is perfect for teens aged 14; above c is too big I think")</f>
        <v>Adapted My son making basketball wished this accessory, it seems that this brand is known for its quality, we'll see. The size M is perfect for teens aged 14; above c is too big I think</v>
      </c>
    </row>
    <row r="2281">
      <c r="A2281" s="1">
        <v>5.0</v>
      </c>
      <c r="B2281" s="1" t="s">
        <v>2266</v>
      </c>
      <c r="C2281" t="str">
        <f>IFERROR(__xludf.DUMMYFUNCTION("GOOGLETRANSLATE(B2281, ""fr"", ""en"")"),"Armenia paper on top! natural fragrance, perfume perfectly, odor remains. Value nice price. I urge especially against cigarette smoke ...")</f>
        <v>Armenia paper on top! natural fragrance, perfume perfectly, odor remains. Value nice price. I urge especially against cigarette smoke ...</v>
      </c>
    </row>
    <row r="2282">
      <c r="A2282" s="1">
        <v>5.0</v>
      </c>
      <c r="B2282" s="1" t="s">
        <v>2267</v>
      </c>
      <c r="C2282" t="str">
        <f>IFERROR(__xludf.DUMMYFUNCTION("GOOGLETRANSLATE(B2282, ""fr"", ""en"")"),"Super Very good microphone! As in the description! Good points: - Compatible with all types of phones - Small. - Value for money very well. - Clear sound. Caveats: - His best distance (20cm) - Fragility - a short little cable if you want to put it under t"&amp;"he shirt. I still put 5 stars because the microphone is very good overall and for that price * _ *")</f>
        <v>Super Very good microphone! As in the description! Good points: - Compatible with all types of phones - Small. - Value for money very well. - Clear sound. Caveats: - His best distance (20cm) - Fragility - a short little cable if you want to put it under the shirt. I still put 5 stars because the microphone is very good overall and for that price * _ *</v>
      </c>
    </row>
    <row r="2283">
      <c r="A2283" s="1">
        <v>5.0</v>
      </c>
      <c r="B2283" s="1" t="s">
        <v>2268</v>
      </c>
      <c r="C2283" t="str">
        <f>IFERROR(__xludf.DUMMYFUNCTION("GOOGLETRANSLATE(B2283, ""fr"", ""en"")"),"comfort my son and my husband love they are comfortable and warm well I recommend a d other person working outside")</f>
        <v>comfort my son and my husband love they are comfortable and warm well I recommend a d other person working outside</v>
      </c>
    </row>
    <row r="2284">
      <c r="A2284" s="1">
        <v>5.0</v>
      </c>
      <c r="B2284" s="1" t="s">
        <v>2269</v>
      </c>
      <c r="C2284" t="str">
        <f>IFERROR(__xludf.DUMMYFUNCTION("GOOGLETRANSLATE(B2284, ""fr"", ""en"")"),"Very good value for money A massage really nice, the pillow really well relaxes the muscles. It is more warm than hot, but it is enough. I definitely recommend for the price!")</f>
        <v>Very good value for money A massage really nice, the pillow really well relaxes the muscles. It is more warm than hot, but it is enough. I definitely recommend for the price!</v>
      </c>
    </row>
    <row r="2285">
      <c r="A2285" s="1">
        <v>5.0</v>
      </c>
      <c r="B2285" s="1" t="s">
        <v>2270</v>
      </c>
      <c r="C2285" t="str">
        <f>IFERROR(__xludf.DUMMYFUNCTION("GOOGLETRANSLATE(B2285, ""fr"", ""en"")"),"Super relaxation for those standing business !!! Device high quality and good design very nice after a good day of work my wife n 'Not expecting mother wanted the party to use good one said anything to children !!!")</f>
        <v>Super relaxation for those standing business !!! Device high quality and good design very nice after a good day of work my wife n 'Not expecting mother wanted the party to use good one said anything to children !!!</v>
      </c>
    </row>
    <row r="2286">
      <c r="A2286" s="1">
        <v>5.0</v>
      </c>
      <c r="B2286" s="1" t="s">
        <v>2271</v>
      </c>
      <c r="C2286" t="str">
        <f>IFERROR(__xludf.DUMMYFUNCTION("GOOGLETRANSLATE(B2286, ""fr"", ""en"")"),"its very good the sound is excellent, the micro stars, too good and easy to use I love, to advise; here is")</f>
        <v>its very good the sound is excellent, the micro stars, too good and easy to use I love, to advise; here is</v>
      </c>
    </row>
    <row r="2287">
      <c r="A2287" s="1">
        <v>5.0</v>
      </c>
      <c r="B2287" s="1" t="s">
        <v>2272</v>
      </c>
      <c r="C2287" t="str">
        <f>IFERROR(__xludf.DUMMYFUNCTION("GOOGLETRANSLATE(B2287, ""fr"", ""en"")"),"size small damage they are nice")</f>
        <v>size small damage they are nice</v>
      </c>
    </row>
    <row r="2288">
      <c r="A2288" s="1">
        <v>5.0</v>
      </c>
      <c r="B2288" s="1" t="s">
        <v>2273</v>
      </c>
      <c r="C2288" t="str">
        <f>IFERROR(__xludf.DUMMYFUNCTION("GOOGLETRANSLATE(B2288, ""fr"", ""en"")"),"fast it works very well for small cannon printer for small pictures that we need right now thank you")</f>
        <v>fast it works very well for small cannon printer for small pictures that we need right now thank you</v>
      </c>
    </row>
    <row r="2289">
      <c r="A2289" s="1">
        <v>5.0</v>
      </c>
      <c r="B2289" s="1" t="s">
        <v>2274</v>
      </c>
      <c r="C2289" t="str">
        <f>IFERROR(__xludf.DUMMYFUNCTION("GOOGLETRANSLATE(B2289, ""fr"", ""en"")"),"Hot Very Hot")</f>
        <v>Hot Very Hot</v>
      </c>
    </row>
    <row r="2290">
      <c r="A2290" s="1">
        <v>5.0</v>
      </c>
      <c r="B2290" s="1" t="s">
        <v>2275</v>
      </c>
      <c r="C2290" t="str">
        <f>IFERROR(__xludf.DUMMYFUNCTION("GOOGLETRANSLATE(B2290, ""fr"", ""en"")"),"VERY GOOD HORSE. RAS")</f>
        <v>VERY GOOD HORSE. RAS</v>
      </c>
    </row>
    <row r="2291">
      <c r="A2291" s="1">
        <v>5.0</v>
      </c>
      <c r="B2291" s="1" t="s">
        <v>2276</v>
      </c>
      <c r="C2291" t="str">
        <f>IFERROR(__xludf.DUMMYFUNCTION("GOOGLETRANSLATE(B2291, ""fr"", ""en"")"),"Trainers at the top Fast delivery before the date, at least 15jrs before and then on top quality")</f>
        <v>Trainers at the top Fast delivery before the date, at least 15jrs before and then on top quality</v>
      </c>
    </row>
    <row r="2292">
      <c r="A2292" s="1">
        <v>5.0</v>
      </c>
      <c r="B2292" s="1" t="s">
        <v>2277</v>
      </c>
      <c r="C2292" t="str">
        <f>IFERROR(__xludf.DUMMYFUNCTION("GOOGLETRANSLATE(B2292, ""fr"", ""en"")"),"Okay Foot microphone used in several evenings! Perfect ! WARNING: CHECK THE DIAMETER OF YOUR MICRO (because there is only one tip) must be provided to buy another cap according to the diameter of your microphone (available for 3 €) CHECK WEIGHT, if a bana"&amp;"l micro plastic no problem, but I had a big sony iron ... and the walking trend look! Conc: FOOT OF QUALITY")</f>
        <v>Okay Foot microphone used in several evenings! Perfect ! WARNING: CHECK THE DIAMETER OF YOUR MICRO (because there is only one tip) must be provided to buy another cap according to the diameter of your microphone (available for 3 €) CHECK WEIGHT, if a banal micro plastic no problem, but I had a big sony iron ... and the walking trend look! Conc: FOOT OF QUALITY</v>
      </c>
    </row>
    <row r="2293">
      <c r="A2293" s="1">
        <v>2.0</v>
      </c>
      <c r="B2293" s="1" t="s">
        <v>2278</v>
      </c>
      <c r="C2293" t="str">
        <f>IFERROR(__xludf.DUMMYFUNCTION("GOOGLETRANSLATE(B2293, ""fr"", ""en"")"),"If abyss very quickly I'm pretty disappointed with this article, he abyss very quickly. After just 1 week after the bristles are all crushed ... by cons, very suitable for my bottles!")</f>
        <v>If abyss very quickly I'm pretty disappointed with this article, he abyss very quickly. After just 1 week after the bristles are all crushed ... by cons, very suitable for my bottles!</v>
      </c>
    </row>
    <row r="2294">
      <c r="A2294" s="1">
        <v>1.0</v>
      </c>
      <c r="B2294" s="1" t="s">
        <v>2279</v>
      </c>
      <c r="C2294" t="str">
        <f>IFERROR(__xludf.DUMMYFUNCTION("GOOGLETRANSLATE(B2294, ""fr"", ""en"")"),"No official product of very poor quality, not according to photos, the very poor. Buyer if you are looking official headphones go your way")</f>
        <v>No official product of very poor quality, not according to photos, the very poor. Buyer if you are looking official headphones go your way</v>
      </c>
    </row>
    <row r="2295">
      <c r="A2295" s="1">
        <v>1.0</v>
      </c>
      <c r="B2295" s="1" t="s">
        <v>2280</v>
      </c>
      <c r="C2295" t="str">
        <f>IFERROR(__xludf.DUMMYFUNCTION("GOOGLETRANSLATE(B2295, ""fr"", ""en"")"),"Achetee in January 2017, March 2017 and exchanged unusable in October 2018! I bought this kettle in January 2017, had to make me a gift three months later because the lid closed over. In October 2018 it does not work at all I do not know what's it's ... F"&amp;"or the price ca is not very resistant!")</f>
        <v>Achetee in January 2017, March 2017 and exchanged unusable in October 2018! I bought this kettle in January 2017, had to make me a gift three months later because the lid closed over. In October 2018 it does not work at all I do not know what's it's ... For the price ca is not very resistant!</v>
      </c>
    </row>
    <row r="2296">
      <c r="A2296" s="1">
        <v>3.0</v>
      </c>
      <c r="B2296" s="1" t="s">
        <v>2281</v>
      </c>
      <c r="C2296" t="str">
        <f>IFERROR(__xludf.DUMMYFUNCTION("GOOGLETRANSLATE(B2296, ""fr"", ""en"")"),"This practice but not solid nipple is convenient because you can select the desired flow rate depending on the thickness of the milk. My son having spit, he must drink milk AR which has a thick enough texture. With this nipple, it easily sucks the milk. H"&amp;"owever, after a month of use, the nipple cracks at the slot which greatly increases the flow rate becomes uncontrollable.")</f>
        <v>This practice but not solid nipple is convenient because you can select the desired flow rate depending on the thickness of the milk. My son having spit, he must drink milk AR which has a thick enough texture. With this nipple, it easily sucks the milk. However, after a month of use, the nipple cracks at the slot which greatly increases the flow rate becomes uncontrollable.</v>
      </c>
    </row>
    <row r="2297">
      <c r="A2297" s="1">
        <v>3.0</v>
      </c>
      <c r="B2297" s="1" t="s">
        <v>2282</v>
      </c>
      <c r="C2297" t="str">
        <f>IFERROR(__xludf.DUMMYFUNCTION("GOOGLETRANSLATE(B2297, ""fr"", ""en"")"),"Warning device does not release him even milk. Looking at the beautiful video presentation we say it is good the device prepares itself the bottle, in fact it is false, you must wait until the first jet of water at 70 degrees, then put the milk powder and"&amp;" then the device adds water. I not pay 70 euros a device that does not work for me. Requested a refund on the grounds that the video does not show the product correctly. I prefer to take a more expensive but that really is the Dolce Gusto the bottle.")</f>
        <v>Warning device does not release him even milk. Looking at the beautiful video presentation we say it is good the device prepares itself the bottle, in fact it is false, you must wait until the first jet of water at 70 degrees, then put the milk powder and then the device adds water. I not pay 70 euros a device that does not work for me. Requested a refund on the grounds that the video does not show the product correctly. I prefer to take a more expensive but that really is the Dolce Gusto the bottle.</v>
      </c>
    </row>
    <row r="2298">
      <c r="A2298" s="1">
        <v>4.0</v>
      </c>
      <c r="B2298" s="1" t="s">
        <v>2283</v>
      </c>
      <c r="C2298" t="str">
        <f>IFERROR(__xludf.DUMMYFUNCTION("GOOGLETRANSLATE(B2298, ""fr"", ""en"")"),"Meets the announcement not more effective than other products because before it resist antibiotics and bleach but now why?")</f>
        <v>Meets the announcement not more effective than other products because before it resist antibiotics and bleach but now why?</v>
      </c>
    </row>
    <row r="2299">
      <c r="A2299" s="1">
        <v>4.0</v>
      </c>
      <c r="B2299" s="1" t="s">
        <v>2284</v>
      </c>
      <c r="C2299" t="str">
        <f>IFERROR(__xludf.DUMMYFUNCTION("GOOGLETRANSLATE(B2299, ""fr"", ""en"")"),"Very comfortable and light to work and walk. I recommandrai Very light and comfortable to walk and work. I recommandrai.")</f>
        <v>Very comfortable and light to work and walk. I recommandrai Very light and comfortable to walk and work. I recommandrai.</v>
      </c>
    </row>
    <row r="2300">
      <c r="A2300" s="1">
        <v>4.0</v>
      </c>
      <c r="B2300" s="1" t="s">
        <v>2285</v>
      </c>
      <c r="C2300" t="str">
        <f>IFERROR(__xludf.DUMMYFUNCTION("GOOGLETRANSLATE(B2300, ""fr"", ""en"")"),"Impeccable great coffee.")</f>
        <v>Impeccable great coffee.</v>
      </c>
    </row>
    <row r="2301">
      <c r="A2301" s="1">
        <v>4.0</v>
      </c>
      <c r="B2301" s="1" t="s">
        <v>2286</v>
      </c>
      <c r="C2301" t="str">
        <f>IFERROR(__xludf.DUMMYFUNCTION("GOOGLETRANSLATE(B2301, ""fr"", ""en"")"),"Good but bags that close well to freeze or store in the fridge. As 4 * because it is not environmentally friendly plastic everything ... I took them to add to my cart ;-)")</f>
        <v>Good but bags that close well to freeze or store in the fridge. As 4 * because it is not environmentally friendly plastic everything ... I took them to add to my cart ;-)</v>
      </c>
    </row>
    <row r="2302">
      <c r="A2302" s="1">
        <v>5.0</v>
      </c>
      <c r="B2302" s="1" t="s">
        <v>2287</v>
      </c>
      <c r="C2302" t="str">
        <f>IFERROR(__xludf.DUMMYFUNCTION("GOOGLETRANSLATE(B2302, ""fr"", ""en"")"),"Very happy with the product very good value.")</f>
        <v>Very happy with the product very good value.</v>
      </c>
    </row>
    <row r="2303">
      <c r="A2303" s="1">
        <v>5.0</v>
      </c>
      <c r="B2303" s="1" t="s">
        <v>2288</v>
      </c>
      <c r="C2303" t="str">
        <f>IFERROR(__xludf.DUMMYFUNCTION("GOOGLETRANSLATE(B2303, ""fr"", ""en"")"),"Nickel product according to the description. Nothing to say it. Easy to clean. The kettle heats up quickly. I recommend this product.")</f>
        <v>Nickel product according to the description. Nothing to say it. Easy to clean. The kettle heats up quickly. I recommend this product.</v>
      </c>
    </row>
    <row r="2304">
      <c r="A2304" s="1">
        <v>5.0</v>
      </c>
      <c r="B2304" s="1" t="s">
        <v>2289</v>
      </c>
      <c r="C2304" t="str">
        <f>IFERROR(__xludf.DUMMYFUNCTION("GOOGLETRANSLATE(B2304, ""fr"", ""en"")"),"While keeping with its photo presentation. True to the quality scotch, RAS. Fun little drawing on the tubes that appeal well. The small metal box is solid and friendly. Can be used for all sorts of things after ...")</f>
        <v>While keeping with its photo presentation. True to the quality scotch, RAS. Fun little drawing on the tubes that appeal well. The small metal box is solid and friendly. Can be used for all sorts of things after ...</v>
      </c>
    </row>
    <row r="2305">
      <c r="A2305" s="1">
        <v>5.0</v>
      </c>
      <c r="B2305" s="1" t="s">
        <v>2290</v>
      </c>
      <c r="C2305" t="str">
        <f>IFERROR(__xludf.DUMMYFUNCTION("GOOGLETRANSLATE(B2305, ""fr"", ""en"")"),"Reviews Although Article")</f>
        <v>Reviews Although Article</v>
      </c>
    </row>
    <row r="2306">
      <c r="A2306" s="1">
        <v>5.0</v>
      </c>
      <c r="B2306" s="1" t="s">
        <v>2291</v>
      </c>
      <c r="C2306" t="str">
        <f>IFERROR(__xludf.DUMMYFUNCTION("GOOGLETRANSLATE(B2306, ""fr"", ""en"")"),"Super Nothing to say")</f>
        <v>Super Nothing to say</v>
      </c>
    </row>
    <row r="2307">
      <c r="A2307" s="1">
        <v>5.0</v>
      </c>
      <c r="B2307" s="1" t="s">
        <v>2292</v>
      </c>
      <c r="C2307" t="str">
        <f>IFERROR(__xludf.DUMMYFUNCTION("GOOGLETRANSLATE(B2307, ""fr"", ""en"")"),"Reebok classic timeless Very good quality product, white goes with everything, however, we must take care because it became very messy, pay attention to the jeans that may bleed.")</f>
        <v>Reebok classic timeless Very good quality product, white goes with everything, however, we must take care because it became very messy, pay attention to the jeans that may bleed.</v>
      </c>
    </row>
    <row r="2308">
      <c r="A2308" s="1">
        <v>5.0</v>
      </c>
      <c r="B2308" s="1" t="s">
        <v>2293</v>
      </c>
      <c r="C2308" t="str">
        <f>IFERROR(__xludf.DUMMYFUNCTION("GOOGLETRANSLATE(B2308, ""fr"", ""en"")"),"Foldable table Foldable table for PC fairly robust. after finding the right height and the right angle, perfect for working up for example. Although steady on a desk, for cons I have not tried on a bed")</f>
        <v>Foldable table Foldable table for PC fairly robust. after finding the right height and the right angle, perfect for working up for example. Although steady on a desk, for cons I have not tried on a bed</v>
      </c>
    </row>
    <row r="2309">
      <c r="A2309" s="1">
        <v>5.0</v>
      </c>
      <c r="B2309" s="1" t="s">
        <v>2294</v>
      </c>
      <c r="C2309" t="str">
        <f>IFERROR(__xludf.DUMMYFUNCTION("GOOGLETRANSLATE(B2309, ""fr"", ""en"")"),"Excellent value for money ... Very handy! Small footprint ... very happy with this purchase!")</f>
        <v>Excellent value for money ... Very handy! Small footprint ... very happy with this purchase!</v>
      </c>
    </row>
    <row r="2310">
      <c r="A2310" s="1">
        <v>5.0</v>
      </c>
      <c r="B2310" s="1" t="s">
        <v>2295</v>
      </c>
      <c r="C2310" t="str">
        <f>IFERROR(__xludf.DUMMYFUNCTION("GOOGLETRANSLATE(B2310, ""fr"", ""en"")"),"perfectly sized very comfortable perfect for someone who has to wear bandages")</f>
        <v>perfectly sized very comfortable perfect for someone who has to wear bandages</v>
      </c>
    </row>
    <row r="2311">
      <c r="A2311" s="1">
        <v>5.0</v>
      </c>
      <c r="B2311" s="1" t="s">
        <v>2296</v>
      </c>
      <c r="C2311" t="str">
        <f>IFERROR(__xludf.DUMMYFUNCTION("GOOGLETRANSLATE(B2311, ""fr"", ""en"")"),"Arcicle super super happy with my purchase, all glass, good quality, very pleased with my choice")</f>
        <v>Arcicle super super happy with my purchase, all glass, good quality, very pleased with my choice</v>
      </c>
    </row>
    <row r="2312">
      <c r="A2312" s="1">
        <v>5.0</v>
      </c>
      <c r="B2312" s="1" t="s">
        <v>2297</v>
      </c>
      <c r="C2312" t="str">
        <f>IFERROR(__xludf.DUMMYFUNCTION("GOOGLETRANSLATE(B2312, ""fr"", ""en"")"),"Ravi Very nice product")</f>
        <v>Ravi Very nice product</v>
      </c>
    </row>
    <row r="2313">
      <c r="A2313" s="1">
        <v>5.0</v>
      </c>
      <c r="B2313" s="1" t="s">
        <v>2298</v>
      </c>
      <c r="C2313" t="str">
        <f>IFERROR(__xludf.DUMMYFUNCTION("GOOGLETRANSLATE(B2313, ""fr"", ""en"")"),"Great ! great item ... Shoes accordance with the announcement super comfortable ... I highly recommend this product")</f>
        <v>Great ! great item ... Shoes accordance with the announcement super comfortable ... I highly recommend this product</v>
      </c>
    </row>
    <row r="2314">
      <c r="A2314" s="1">
        <v>5.0</v>
      </c>
      <c r="B2314" s="1" t="s">
        <v>2299</v>
      </c>
      <c r="C2314" t="str">
        <f>IFERROR(__xludf.DUMMYFUNCTION("GOOGLETRANSLATE(B2314, ""fr"", ""en"")"),"Excellent product Great product! They are flexible comfortable and have a nice shape. I put every day they are light and highly resistant. I recommend it.")</f>
        <v>Excellent product Great product! They are flexible comfortable and have a nice shape. I put every day they are light and highly resistant. I recommend it.</v>
      </c>
    </row>
    <row r="2315">
      <c r="A2315" s="1">
        <v>5.0</v>
      </c>
      <c r="B2315" s="1" t="s">
        <v>2300</v>
      </c>
      <c r="C2315" t="str">
        <f>IFERROR(__xludf.DUMMYFUNCTION("GOOGLETRANSLATE(B2315, ""fr"", ""en"")"),"Top and delivered to the scheduled date Super, very good price / quality ratio.")</f>
        <v>Top and delivered to the scheduled date Super, very good price / quality ratio.</v>
      </c>
    </row>
    <row r="2316">
      <c r="A2316" s="1">
        <v>5.0</v>
      </c>
      <c r="B2316" s="1" t="s">
        <v>2301</v>
      </c>
      <c r="C2316" t="str">
        <f>IFERROR(__xludf.DUMMYFUNCTION("GOOGLETRANSLATE(B2316, ""fr"", ""en"")"),"This recent purchase is exactly the athletic shoe I wanted. It perfectly fits my foot. Very very good product value. cordially")</f>
        <v>This recent purchase is exactly the athletic shoe I wanted. It perfectly fits my foot. Very very good product value. cordially</v>
      </c>
    </row>
    <row r="2317">
      <c r="A2317" s="1">
        <v>2.0</v>
      </c>
      <c r="B2317" s="1" t="s">
        <v>2302</v>
      </c>
      <c r="C2317" t="str">
        <f>IFERROR(__xludf.DUMMYFUNCTION("GOOGLETRANSLATE(B2317, ""fr"", ""en"")"),"Basic shows I am disappointed by this article and expected better. Of course the price must not ask too much.")</f>
        <v>Basic shows I am disappointed by this article and expected better. Of course the price must not ask too much.</v>
      </c>
    </row>
    <row r="2318">
      <c r="A2318" s="1">
        <v>1.0</v>
      </c>
      <c r="B2318" s="1" t="s">
        <v>2303</v>
      </c>
      <c r="C2318" t="str">
        <f>IFERROR(__xludf.DUMMYFUNCTION("GOOGLETRANSLATE(B2318, ""fr"", ""en"")"),"Damaged after five months of Putting nikes for many years, I was looking for a black leather pair nike air. Having found those it on amazon I bought. My opinion 5 months after purchase: big doubt about the authenticity of the product. Never will any of my"&amp;" nikes were damaged as fast. After 3 months, the plastic on the heels started from as a skin peel, after five months, the color goes on the front of the shoe. First purchase remote for shoes and probably the last. Very disappointed...")</f>
        <v>Damaged after five months of Putting nikes for many years, I was looking for a black leather pair nike air. Having found those it on amazon I bought. My opinion 5 months after purchase: big doubt about the authenticity of the product. Never will any of my nikes were damaged as fast. After 3 months, the plastic on the heels started from as a skin peel, after five months, the color goes on the front of the shoe. First purchase remote for shoes and probably the last. Very disappointed...</v>
      </c>
    </row>
    <row r="2319">
      <c r="A2319" s="1">
        <v>1.0</v>
      </c>
      <c r="B2319" s="1" t="s">
        <v>2304</v>
      </c>
      <c r="C2319" t="str">
        <f>IFERROR(__xludf.DUMMYFUNCTION("GOOGLETRANSLATE(B2319, ""fr"", ""en"")"),"very very hard I have never been so bad")</f>
        <v>very very hard I have never been so bad</v>
      </c>
    </row>
    <row r="2320">
      <c r="A2320" s="1">
        <v>3.0</v>
      </c>
      <c r="B2320" s="1" t="s">
        <v>2305</v>
      </c>
      <c r="C2320" t="str">
        <f>IFERROR(__xludf.DUMMYFUNCTION("GOOGLETRANSLATE(B2320, ""fr"", ""en"")"),"Bad Textile torn ... not resistant to the first port")</f>
        <v>Bad Textile torn ... not resistant to the first port</v>
      </c>
    </row>
    <row r="2321">
      <c r="A2321" s="1">
        <v>4.0</v>
      </c>
      <c r="B2321" s="1" t="s">
        <v>2306</v>
      </c>
      <c r="C2321" t="str">
        <f>IFERROR(__xludf.DUMMYFUNCTION("GOOGLETRANSLATE(B2321, ""fr"", ""en"")"),"Fine ... but comfortable, no smell, but the interior is in the process of tearing after 1 month of use.")</f>
        <v>Fine ... but comfortable, no smell, but the interior is in the process of tearing after 1 month of use.</v>
      </c>
    </row>
    <row r="2322">
      <c r="A2322" s="1">
        <v>4.0</v>
      </c>
      <c r="B2322" s="1" t="s">
        <v>2307</v>
      </c>
      <c r="C2322" t="str">
        <f>IFERROR(__xludf.DUMMYFUNCTION("GOOGLETRANSLATE(B2322, ""fr"", ""en"")"),"Good product very good product aesthetics. Small flat, the window for viewing the amount of water is constantly fogged. Otherwise, nothing very aesthetic dire.produit")</f>
        <v>Good product very good product aesthetics. Small flat, the window for viewing the amount of water is constantly fogged. Otherwise, nothing very aesthetic dire.produit</v>
      </c>
    </row>
    <row r="2323">
      <c r="A2323" s="1">
        <v>4.0</v>
      </c>
      <c r="B2323" s="1" t="s">
        <v>2308</v>
      </c>
      <c r="C2323" t="str">
        <f>IFERROR(__xludf.DUMMYFUNCTION("GOOGLETRANSLATE(B2323, ""fr"", ""en"")"),"too fast flow of bb for 1 month For milk thickened bb than a month milk flows too fast to be used can be from 2 to 3 months")</f>
        <v>too fast flow of bb for 1 month For milk thickened bb than a month milk flows too fast to be used can be from 2 to 3 months</v>
      </c>
    </row>
    <row r="2324">
      <c r="A2324" s="1">
        <v>4.0</v>
      </c>
      <c r="B2324" s="1" t="s">
        <v>2309</v>
      </c>
      <c r="C2324" t="str">
        <f>IFERROR(__xludf.DUMMYFUNCTION("GOOGLETRANSLATE(B2324, ""fr"", ""en"")"),"Very effective for the fresh and delicate scent could use some work! We are in the good old fragrance shit! The product itself clings well to the bowl and the turnstile inside releases of the product that conversation between two scouring for small commis"&amp;"sions!")</f>
        <v>Very effective for the fresh and delicate scent could use some work! We are in the good old fragrance shit! The product itself clings well to the bowl and the turnstile inside releases of the product that conversation between two scouring for small commissions!</v>
      </c>
    </row>
    <row r="2325">
      <c r="A2325" s="1">
        <v>5.0</v>
      </c>
      <c r="B2325" s="1" t="s">
        <v>2310</v>
      </c>
      <c r="C2325" t="str">
        <f>IFERROR(__xludf.DUMMYFUNCTION("GOOGLETRANSLATE(B2325, ""fr"", ""en"")"),"Converse Converse beautiful beautiful beautiful red. Size 36.5 chosen for a size 37. Quick delivery: ordered January 22 and received on 29. Very satisfied.")</f>
        <v>Converse Converse beautiful beautiful beautiful red. Size 36.5 chosen for a size 37. Quick delivery: ordered January 22 and received on 29. Very satisfied.</v>
      </c>
    </row>
    <row r="2326">
      <c r="A2326" s="1">
        <v>5.0</v>
      </c>
      <c r="B2326" s="1" t="s">
        <v>2311</v>
      </c>
      <c r="C2326" t="str">
        <f>IFERROR(__xludf.DUMMYFUNCTION("GOOGLETRANSLATE(B2326, ""fr"", ""en"")"),"well amballer calendar this calendar completely consistent with what I desired spot large enough to write the date next to be desired,")</f>
        <v>well amballer calendar this calendar completely consistent with what I desired spot large enough to write the date next to be desired,</v>
      </c>
    </row>
    <row r="2327">
      <c r="A2327" s="1">
        <v>5.0</v>
      </c>
      <c r="B2327" s="1" t="s">
        <v>2312</v>
      </c>
      <c r="C2327" t="str">
        <f>IFERROR(__xludf.DUMMYFUNCTION("GOOGLETRANSLATE(B2327, ""fr"", ""en"")"),"Excellent value. I received a package containing: -2 Bluetooth Wireless Earphone -1 -1 loading box charging cable -3 caps of different sizes -a cloth bag -the Manual. After several days of testing, the headphones work fine. They are pleasant and light to "&amp;"wear. They do not hurt and are forgotten. The mouthpiece texture adapts perfectly to the shape of my ear. Pairing with my smartphone is carefree. The sound quality is good. I use it both for calls and for listening to music, and I am free of my movements,"&amp;" especially at the gym. Pros: -Small, -légers, 'They keep very much in place, once found the right size of tip, -The sound is quite satisfactory, -Autonomy quite satisfactory, more than 3 hours of listening continuous, effective noise -reduction, -the use"&amp;" is simple and intuitive, -The small transport box allows the charge and at the same time the ranger -The scope of bluetooth is good. For me it is a great product.")</f>
        <v>Excellent value. I received a package containing: -2 Bluetooth Wireless Earphone -1 -1 loading box charging cable -3 caps of different sizes -a cloth bag -the Manual. After several days of testing, the headphones work fine. They are pleasant and light to wear. They do not hurt and are forgotten. The mouthpiece texture adapts perfectly to the shape of my ear. Pairing with my smartphone is carefree. The sound quality is good. I use it both for calls and for listening to music, and I am free of my movements, especially at the gym. Pros: -Small, -légers, 'They keep very much in place, once found the right size of tip, -The sound is quite satisfactory, -Autonomy quite satisfactory, more than 3 hours of listening continuous, effective noise -reduction, -the use is simple and intuitive, -The small transport box allows the charge and at the same time the ranger -The scope of bluetooth is good. For me it is a great product.</v>
      </c>
    </row>
    <row r="2328">
      <c r="A2328" s="1">
        <v>5.0</v>
      </c>
      <c r="B2328" s="1" t="s">
        <v>2313</v>
      </c>
      <c r="C2328" t="str">
        <f>IFERROR(__xludf.DUMMYFUNCTION("GOOGLETRANSLATE(B2328, ""fr"", ""en"")"),"secu Shoe jb Safety shoes perfectly fit me it is very beautiful and there the protective shell ... very good product")</f>
        <v>secu Shoe jb Safety shoes perfectly fit me it is very beautiful and there the protective shell ... very good product</v>
      </c>
    </row>
    <row r="2329">
      <c r="A2329" s="1">
        <v>5.0</v>
      </c>
      <c r="B2329" s="1" t="s">
        <v>2314</v>
      </c>
      <c r="C2329" t="str">
        <f>IFERROR(__xludf.DUMMYFUNCTION("GOOGLETRANSLATE(B2329, ""fr"", ""en"")"),"Satisfied Complies Complies description Received as agreed at the date")</f>
        <v>Satisfied Complies Complies description Received as agreed at the date</v>
      </c>
    </row>
    <row r="2330">
      <c r="A2330" s="1">
        <v>5.0</v>
      </c>
      <c r="B2330" s="1" t="s">
        <v>2315</v>
      </c>
      <c r="C2330" t="str">
        <f>IFERROR(__xludf.DUMMYFUNCTION("GOOGLETRANSLATE(B2330, ""fr"", ""en"")"),"Well designed and easy to use design is super good, the axes are the step by step, holes allow to access between 2 positions. Really nice, I served in my car, the serifs are perfectly suited to the seat of my 208")</f>
        <v>Well designed and easy to use design is super good, the axes are the step by step, holes allow to access between 2 positions. Really nice, I served in my car, the serifs are perfectly suited to the seat of my 208</v>
      </c>
    </row>
    <row r="2331">
      <c r="A2331" s="1">
        <v>5.0</v>
      </c>
      <c r="B2331" s="1" t="s">
        <v>2316</v>
      </c>
      <c r="C2331" t="str">
        <f>IFERROR(__xludf.DUMMYFUNCTION("GOOGLETRANSLATE(B2331, ""fr"", ""en"")"),"perfect perfect high quality")</f>
        <v>perfect perfect high quality</v>
      </c>
    </row>
    <row r="2332">
      <c r="A2332" s="1">
        <v>5.0</v>
      </c>
      <c r="B2332" s="1" t="s">
        <v>2317</v>
      </c>
      <c r="C2332" t="str">
        <f>IFERROR(__xludf.DUMMYFUNCTION("GOOGLETRANSLATE(B2332, ""fr"", ""en"")"),"Super surprise very good gift surprise for my girlfriend. The gift is very different from what one can usually find in shops or supermarkets. With the supplied components, has the ability to make it unique and remarkable. I am quite convinced.")</f>
        <v>Super surprise very good gift surprise for my girlfriend. The gift is very different from what one can usually find in shops or supermarkets. With the supplied components, has the ability to make it unique and remarkable. I am quite convinced.</v>
      </c>
    </row>
    <row r="2333">
      <c r="A2333" s="1">
        <v>5.0</v>
      </c>
      <c r="B2333" s="1" t="s">
        <v>2318</v>
      </c>
      <c r="C2333" t="str">
        <f>IFERROR(__xludf.DUMMYFUNCTION("GOOGLETRANSLATE(B2333, ""fr"", ""en"")"),"Excellent beautiful shoe, right size. In any case my husband is very happy!")</f>
        <v>Excellent beautiful shoe, right size. In any case my husband is very happy!</v>
      </c>
    </row>
    <row r="2334">
      <c r="A2334" s="1">
        <v>5.0</v>
      </c>
      <c r="B2334" s="1" t="s">
        <v>2319</v>
      </c>
      <c r="C2334" t="str">
        <f>IFERROR(__xludf.DUMMYFUNCTION("GOOGLETRANSLATE(B2334, ""fr"", ""en"")"),"One of the best purchase I made! Bought it two years ago. I use it all day. It's comfortable, the sound is good. I really got attached. I had to change the cable once. But I'm not particularly careful with the cable. And the fact that we know to change th"&amp;"e cable is really a bonus.")</f>
        <v>One of the best purchase I made! Bought it two years ago. I use it all day. It's comfortable, the sound is good. I really got attached. I had to change the cable once. But I'm not particularly careful with the cable. And the fact that we know to change the cable is really a bonus.</v>
      </c>
    </row>
    <row r="2335">
      <c r="A2335" s="1">
        <v>5.0</v>
      </c>
      <c r="B2335" s="1" t="s">
        <v>2320</v>
      </c>
      <c r="C2335" t="str">
        <f>IFERROR(__xludf.DUMMYFUNCTION("GOOGLETRANSLATE(B2335, ""fr"", ""en"")"),"Good desk lamp lamp handy desktop with touch and various light intensities and the USB connection that can charge their devices without stooping to a floor outlet.")</f>
        <v>Good desk lamp lamp handy desktop with touch and various light intensities and the USB connection that can charge their devices without stooping to a floor outlet.</v>
      </c>
    </row>
    <row r="2336">
      <c r="A2336" s="1">
        <v>5.0</v>
      </c>
      <c r="B2336" s="1" t="s">
        <v>2321</v>
      </c>
      <c r="C2336" t="str">
        <f>IFERROR(__xludf.DUMMYFUNCTION("GOOGLETRANSLATE(B2336, ""fr"", ""en"")"),"good quality leather very beautiful thick leather, it perfectly matches my expectations, real leather bag just enough neither too big nor too small looks solid, good quality and very practical, it is important for me to wear shoulder. plenty of storage. V"&amp;"ery satisfied with my purchase .")</f>
        <v>good quality leather very beautiful thick leather, it perfectly matches my expectations, real leather bag just enough neither too big nor too small looks solid, good quality and very practical, it is important for me to wear shoulder. plenty of storage. Very satisfied with my purchase .</v>
      </c>
    </row>
    <row r="2337">
      <c r="A2337" s="1">
        <v>5.0</v>
      </c>
      <c r="B2337" s="1" t="s">
        <v>2322</v>
      </c>
      <c r="C2337" t="str">
        <f>IFERROR(__xludf.DUMMYFUNCTION("GOOGLETRANSLATE(B2337, ""fr"", ""en"")"),"Bottle Philips Advent For all my baby is still this brand I buy, this is the best bottle.")</f>
        <v>Bottle Philips Advent For all my baby is still this brand I buy, this is the best bottle.</v>
      </c>
    </row>
    <row r="2338">
      <c r="A2338" s="1">
        <v>5.0</v>
      </c>
      <c r="B2338" s="1" t="s">
        <v>2323</v>
      </c>
      <c r="C2338" t="str">
        <f>IFERROR(__xludf.DUMMYFUNCTION("GOOGLETRANSLATE(B2338, ""fr"", ""en"")"),"perfect watch Beautiful and super strong. Considering life as watches suffer with me it took me at least that. The metal bracelet is a real plus in terms of strength and also it has a system of hooks which stands where the plastic bracelets made soul. I a"&amp;"m satisfied.")</f>
        <v>perfect watch Beautiful and super strong. Considering life as watches suffer with me it took me at least that. The metal bracelet is a real plus in terms of strength and also it has a system of hooks which stands where the plastic bracelets made soul. I am satisfied.</v>
      </c>
    </row>
    <row r="2339">
      <c r="A2339" s="1">
        <v>5.0</v>
      </c>
      <c r="B2339" s="1" t="s">
        <v>2324</v>
      </c>
      <c r="C2339" t="str">
        <f>IFERROR(__xludf.DUMMYFUNCTION("GOOGLETRANSLATE(B2339, ""fr"", ""en"")"),"Beautiful serious product! After 3 weeks of use ... seriously buying ... very happy to have changed the model for this one ... I did not know the brand well and go ... this is a serious brand. .. no regrets !!!! Besides the quality is go")</f>
        <v>Beautiful serious product! After 3 weeks of use ... seriously buying ... very happy to have changed the model for this one ... I did not know the brand well and go ... this is a serious brand. .. no regrets !!!! Besides the quality is go</v>
      </c>
    </row>
    <row r="2340">
      <c r="A2340" s="1">
        <v>2.0</v>
      </c>
      <c r="B2340" s="1" t="s">
        <v>2325</v>
      </c>
      <c r="C2340" t="str">
        <f>IFERROR(__xludf.DUMMYFUNCTION("GOOGLETRANSLATE(B2340, ""fr"", ""en"")"),"Good product, but does not take a long time I use it for more than 3 months and it is very convenient with small bottle brush for teats. I regret that in against the big brush does not look like anything after so little time ... The ""hairs"" of the brush"&amp;" are all gathered. It should already that I bought another.")</f>
        <v>Good product, but does not take a long time I use it for more than 3 months and it is very convenient with small bottle brush for teats. I regret that in against the big brush does not look like anything after so little time ... The "hairs" of the brush are all gathered. It should already that I bought another.</v>
      </c>
    </row>
    <row r="2341">
      <c r="A2341" s="1">
        <v>1.0</v>
      </c>
      <c r="B2341" s="1" t="s">
        <v>2326</v>
      </c>
      <c r="C2341" t="str">
        <f>IFERROR(__xludf.DUMMYFUNCTION("GOOGLETRANSLATE(B2341, ""fr"", ""en"")"),"Its no bad unpleasant wore expensive for nothing")</f>
        <v>Its no bad unpleasant wore expensive for nothing</v>
      </c>
    </row>
    <row r="2342">
      <c r="A2342" s="1">
        <v>3.0</v>
      </c>
      <c r="B2342" s="1" t="s">
        <v>2327</v>
      </c>
      <c r="C2342" t="str">
        <f>IFERROR(__xludf.DUMMYFUNCTION("GOOGLETRANSLATE(B2342, ""fr"", ""en"")"),"Price interesting but shoes too large a size Makes service for occasional use, the time of a construction sustainability poses still question the finish is a little cheap, and especially size too big, good size at least offset by a large extra pair of soc"&amp;"ks")</f>
        <v>Price interesting but shoes too large a size Makes service for occasional use, the time of a construction sustainability poses still question the finish is a little cheap, and especially size too big, good size at least offset by a large extra pair of socks</v>
      </c>
    </row>
    <row r="2343">
      <c r="A2343" s="1">
        <v>3.0</v>
      </c>
      <c r="B2343" s="1" t="s">
        <v>2328</v>
      </c>
      <c r="C2343" t="str">
        <f>IFERROR(__xludf.DUMMYFUNCTION("GOOGLETRANSLATE(B2343, ""fr"", ""en"")"),"Good quality but ... Good quality leather but steep. They would have deserved the assouplir.Habitué of this brand are not the most comfortable but do the job")</f>
        <v>Good quality but ... Good quality leather but steep. They would have deserved the assouplir.Habitué of this brand are not the most comfortable but do the job</v>
      </c>
    </row>
    <row r="2344">
      <c r="A2344" s="1">
        <v>4.0</v>
      </c>
      <c r="B2344" s="1" t="s">
        <v>2329</v>
      </c>
      <c r="C2344" t="str">
        <f>IFERROR(__xludf.DUMMYFUNCTION("GOOGLETRANSLATE(B2344, ""fr"", ""en"")"),"Good order. Helmet of good quality of gaming, the sheets are strong and protected delivery. Adjusting audio and microphone mute possible. The microphone is replit not obstruct the helmet without it. Fits any head size, even for a child of 7 years.")</f>
        <v>Good order. Helmet of good quality of gaming, the sheets are strong and protected delivery. Adjusting audio and microphone mute possible. The microphone is replit not obstruct the helmet without it. Fits any head size, even for a child of 7 years.</v>
      </c>
    </row>
    <row r="2345">
      <c r="A2345" s="1">
        <v>4.0</v>
      </c>
      <c r="B2345" s="1" t="s">
        <v>2330</v>
      </c>
      <c r="C2345" t="str">
        <f>IFERROR(__xludf.DUMMYFUNCTION("GOOGLETRANSLATE(B2345, ""fr"", ""en"")"),"The nice sweatshirt fabric is of good quality and do not move during washing. The cut is rather slim at the waist (I was not expecting it) for a 38 I took size M and it's perfect but the size is marked. The color is identical to the photo: very nice. But "&amp;"I recommend attention to the size!")</f>
        <v>The nice sweatshirt fabric is of good quality and do not move during washing. The cut is rather slim at the waist (I was not expecting it) for a 38 I took size M and it's perfect but the size is marked. The color is identical to the photo: very nice. But I recommend attention to the size!</v>
      </c>
    </row>
    <row r="2346">
      <c r="A2346" s="1">
        <v>4.0</v>
      </c>
      <c r="B2346" s="1" t="s">
        <v>2331</v>
      </c>
      <c r="C2346" t="str">
        <f>IFERROR(__xludf.DUMMYFUNCTION("GOOGLETRANSLATE(B2346, ""fr"", ""en"")"),"some very good flat no on / off buttons that becomes a low nowadays sound .. not powerful enough, there is no reduction of the surrounding noise or the sound is relatively clean in that price can not expect a lot better, the arm is perfect for against, ve"&amp;"ry fluid, strong enough and long enough")</f>
        <v>some very good flat no on / off buttons that becomes a low nowadays sound .. not powerful enough, there is no reduction of the surrounding noise or the sound is relatively clean in that price can not expect a lot better, the arm is perfect for against, very fluid, strong enough and long enough</v>
      </c>
    </row>
    <row r="2347">
      <c r="A2347" s="1">
        <v>4.0</v>
      </c>
      <c r="B2347" s="1" t="s">
        <v>2332</v>
      </c>
      <c r="C2347" t="str">
        <f>IFERROR(__xludf.DUMMYFUNCTION("GOOGLETRANSLATE(B2347, ""fr"", ""en"")"),"Although Good paper quality, attention to small cuts not necessarily easy to cut! I recommend if need still")</f>
        <v>Although Good paper quality, attention to small cuts not necessarily easy to cut! I recommend if need still</v>
      </c>
    </row>
    <row r="2348">
      <c r="A2348" s="1">
        <v>5.0</v>
      </c>
      <c r="B2348" s="1" t="s">
        <v>2333</v>
      </c>
      <c r="C2348" t="str">
        <f>IFERROR(__xludf.DUMMYFUNCTION("GOOGLETRANSLATE(B2348, ""fr"", ""en"")"),"Budget product")</f>
        <v>Budget product</v>
      </c>
    </row>
    <row r="2349">
      <c r="A2349" s="1">
        <v>5.0</v>
      </c>
      <c r="B2349" s="1" t="s">
        <v>2334</v>
      </c>
      <c r="C2349" t="str">
        <f>IFERROR(__xludf.DUMMYFUNCTION("GOOGLETRANSLATE(B2349, ""fr"", ""en"")"),"Fine fragrance washing machine quality and size appropriée.La spray is very fine, the essential oil is added to water and the smell of spray smoke becomes very douce.Petit exquisite household object, it is much more comfortable to sleep on soir.Ajouter of"&amp;" essential oil to facilitate sommeil.C 'is putting it on the bed and use it as a night light diffuses the fragrance soir.AIR comfortable to relax, the report cost - effectiveness, quality, easy to carry.")</f>
        <v>Fine fragrance washing machine quality and size appropriée.La spray is very fine, the essential oil is added to water and the smell of spray smoke becomes very douce.Petit exquisite household object, it is much more comfortable to sleep on soir.Ajouter of essential oil to facilitate sommeil.C 'is putting it on the bed and use it as a night light diffuses the fragrance soir.AIR comfortable to relax, the report cost - effectiveness, quality, easy to carry.</v>
      </c>
    </row>
    <row r="2350">
      <c r="A2350" s="1">
        <v>5.0</v>
      </c>
      <c r="B2350" s="1" t="s">
        <v>2335</v>
      </c>
      <c r="C2350" t="str">
        <f>IFERROR(__xludf.DUMMYFUNCTION("GOOGLETRANSLATE(B2350, ""fr"", ""en"")"),"RAS good product fast delivery. true")</f>
        <v>RAS good product fast delivery. true</v>
      </c>
    </row>
    <row r="2351">
      <c r="A2351" s="1">
        <v>5.0</v>
      </c>
      <c r="B2351" s="1" t="s">
        <v>2336</v>
      </c>
      <c r="C2351" t="str">
        <f>IFERROR(__xludf.DUMMYFUNCTION("GOOGLETRANSLATE(B2351, ""fr"", ""en"")"),"RAS impeccable")</f>
        <v>RAS impeccable</v>
      </c>
    </row>
    <row r="2352">
      <c r="A2352" s="1">
        <v>5.0</v>
      </c>
      <c r="B2352" s="1" t="s">
        <v>2337</v>
      </c>
      <c r="C2352" t="str">
        <f>IFERROR(__xludf.DUMMYFUNCTION("GOOGLETRANSLATE(B2352, ""fr"", ""en"")"),"Comfortable and functional J bought this massage table for personal use. I am completely satisfied, the foam is thick enough to allow a comfortable reclining position, accessories used to do as a d beauty salon. It is very simple to mount Fully satisfied "&amp;"I recommend")</f>
        <v>Comfortable and functional J bought this massage table for personal use. I am completely satisfied, the foam is thick enough to allow a comfortable reclining position, accessories used to do as a d beauty salon. It is very simple to mount Fully satisfied I recommend</v>
      </c>
    </row>
    <row r="2353">
      <c r="A2353" s="1">
        <v>5.0</v>
      </c>
      <c r="B2353" s="1" t="s">
        <v>2338</v>
      </c>
      <c r="C2353" t="str">
        <f>IFERROR(__xludf.DUMMYFUNCTION("GOOGLETRANSLATE(B2353, ""fr"", ""en"")"),"Earrings Excellent Product")</f>
        <v>Earrings Excellent Product</v>
      </c>
    </row>
    <row r="2354">
      <c r="A2354" s="1">
        <v>5.0</v>
      </c>
      <c r="B2354" s="1" t="s">
        <v>2339</v>
      </c>
      <c r="C2354" t="str">
        <f>IFERROR(__xludf.DUMMYFUNCTION("GOOGLETRANSLATE(B2354, ""fr"", ""en"")"),"Very good quality sports bra, size perfectly, support good; nothing wrong, I am very happy!")</f>
        <v>Very good quality sports bra, size perfectly, support good; nothing wrong, I am very happy!</v>
      </c>
    </row>
    <row r="2355">
      <c r="A2355" s="1">
        <v>5.0</v>
      </c>
      <c r="B2355" s="1" t="s">
        <v>2340</v>
      </c>
      <c r="C2355" t="str">
        <f>IFERROR(__xludf.DUMMYFUNCTION("GOOGLETRANSLATE(B2355, ""fr"", ""en"")"),"Very classy ! Frankly, for the price you can not ask for more! The watch is simple and class, against the button to adjust the time can hurt a little if plit a little too wrist")</f>
        <v>Very classy ! Frankly, for the price you can not ask for more! The watch is simple and class, against the button to adjust the time can hurt a little if plit a little too wrist</v>
      </c>
    </row>
    <row r="2356">
      <c r="A2356" s="1">
        <v>5.0</v>
      </c>
      <c r="B2356" s="1" t="s">
        <v>2341</v>
      </c>
      <c r="C2356" t="str">
        <f>IFERROR(__xludf.DUMMYFUNCTION("GOOGLETRANSLATE(B2356, ""fr"", ""en"")"),"Ordering and delivery Satisfied nothing to say quality of product used for rides cushy walk on soft ground, muddy or wet grass: no problem impermeability Difficulty to put on and remove the feet but it lends itself to long (normal and predictable )")</f>
        <v>Ordering and delivery Satisfied nothing to say quality of product used for rides cushy walk on soft ground, muddy or wet grass: no problem impermeability Difficulty to put on and remove the feet but it lends itself to long (normal and predictable )</v>
      </c>
    </row>
    <row r="2357">
      <c r="A2357" s="1">
        <v>5.0</v>
      </c>
      <c r="B2357" s="1" t="s">
        <v>2342</v>
      </c>
      <c r="C2357" t="str">
        <f>IFERROR(__xludf.DUMMYFUNCTION("GOOGLETRANSLATE(B2357, ""fr"", ""en"")"),"Super Nike MD Runner I'm already a fan of Nike MD Runner but this is the first time I order online. I am very satisfied with the product and delivery. Like many Nike, take the size above (I put on the 42 but I still Nike takes 43)")</f>
        <v>Super Nike MD Runner I'm already a fan of Nike MD Runner but this is the first time I order online. I am very satisfied with the product and delivery. Like many Nike, take the size above (I put on the 42 but I still Nike takes 43)</v>
      </c>
    </row>
    <row r="2358">
      <c r="A2358" s="1">
        <v>5.0</v>
      </c>
      <c r="B2358" s="1" t="s">
        <v>2343</v>
      </c>
      <c r="C2358" t="str">
        <f>IFERROR(__xludf.DUMMYFUNCTION("GOOGLETRANSLATE(B2358, ""fr"", ""en"")"),"Coffee coffee coffee EXELENT my fast and makes good coffee talks very well and value. Bravo")</f>
        <v>Coffee coffee coffee EXELENT my fast and makes good coffee talks very well and value. Bravo</v>
      </c>
    </row>
    <row r="2359">
      <c r="A2359" s="1">
        <v>5.0</v>
      </c>
      <c r="B2359" s="1" t="s">
        <v>2344</v>
      </c>
      <c r="C2359" t="str">
        <f>IFERROR(__xludf.DUMMYFUNCTION("GOOGLETRANSLATE(B2359, ""fr"", ""en"")"),"great product fast delivery, good product that has reached my requests I highly recommend this product. the resistance check after several usage over time but it is consistent with my expectations")</f>
        <v>great product fast delivery, good product that has reached my requests I highly recommend this product. the resistance check after several usage over time but it is consistent with my expectations</v>
      </c>
    </row>
    <row r="2360">
      <c r="A2360" s="1">
        <v>5.0</v>
      </c>
      <c r="B2360" s="1" t="s">
        <v>2345</v>
      </c>
      <c r="C2360" t="str">
        <f>IFERROR(__xludf.DUMMYFUNCTION("GOOGLETRANSLATE(B2360, ""fr"", ""en"")"),"In line with what I expected This is a watch like I had one in 1979, so the features have not varied, but it is a good product that does the job.")</f>
        <v>In line with what I expected This is a watch like I had one in 1979, so the features have not varied, but it is a good product that does the job.</v>
      </c>
    </row>
    <row r="2361">
      <c r="A2361" s="1">
        <v>5.0</v>
      </c>
      <c r="B2361" s="1" t="s">
        <v>2346</v>
      </c>
      <c r="C2361" t="str">
        <f>IFERROR(__xludf.DUMMYFUNCTION("GOOGLETRANSLATE(B2361, ""fr"", ""en"")"),"Recommendation Too perfect. I just love it")</f>
        <v>Recommendation Too perfect. I just love it</v>
      </c>
    </row>
    <row r="2362">
      <c r="A2362" s="1">
        <v>5.0</v>
      </c>
      <c r="B2362" s="1" t="s">
        <v>2347</v>
      </c>
      <c r="C2362" t="str">
        <f>IFERROR(__xludf.DUMMYFUNCTION("GOOGLETRANSLATE(B2362, ""fr"", ""en"")"),"Size ok super Perfect pants, size is correct it is nice and comfortable to wear. The design is nice.")</f>
        <v>Size ok super Perfect pants, size is correct it is nice and comfortable to wear. The design is nice.</v>
      </c>
    </row>
    <row r="2363">
      <c r="A2363" s="1">
        <v>5.0</v>
      </c>
      <c r="B2363" s="1" t="s">
        <v>2348</v>
      </c>
      <c r="C2363" t="str">
        <f>IFERROR(__xludf.DUMMYFUNCTION("GOOGLETRANSLATE(B2363, ""fr"", ""en"")"),"Top 5 ⭐")</f>
        <v>Top 5 ⭐</v>
      </c>
    </row>
    <row r="2364">
      <c r="A2364" s="1">
        <v>2.0</v>
      </c>
      <c r="B2364" s="1" t="s">
        <v>2349</v>
      </c>
      <c r="C2364" t="str">
        <f>IFERROR(__xludf.DUMMYFUNCTION("GOOGLETRANSLATE(B2364, ""fr"", ""en"")"),"Bad Very nice pendant. But after two days the channel darkens. I'm glad not to have paid that 9euros in promo and not 129 (original price).")</f>
        <v>Bad Very nice pendant. But after two days the channel darkens. I'm glad not to have paid that 9euros in promo and not 129 (original price).</v>
      </c>
    </row>
    <row r="2365">
      <c r="A2365" s="1">
        <v>1.0</v>
      </c>
      <c r="B2365" s="1" t="s">
        <v>2350</v>
      </c>
      <c r="C2365" t="str">
        <f>IFERROR(__xludf.DUMMYFUNCTION("GOOGLETRANSLATE(B2365, ""fr"", ""en"")"),"uncomfortable massage is painful there is just a net that covers the massage balls, it would have a thicker layer as leather.")</f>
        <v>uncomfortable massage is painful there is just a net that covers the massage balls, it would have a thicker layer as leather.</v>
      </c>
    </row>
    <row r="2366">
      <c r="A2366" s="1">
        <v>1.0</v>
      </c>
      <c r="B2366" s="1" t="s">
        <v>2351</v>
      </c>
      <c r="C2366" t="str">
        <f>IFERROR(__xludf.DUMMYFUNCTION("GOOGLETRANSLATE(B2366, ""fr"", ""en"")"),"Move along. Bought to allow my mother to try without breaking the bank, and happily! Carpets too soft, painless flowers on the first try (I know, it sounds ""masochistic"" but that's the effect it must do to operate, ie has to get you to relax). In short,"&amp;" instead of wanting to save money, better put aside the money to ""true"".")</f>
        <v>Move along. Bought to allow my mother to try without breaking the bank, and happily! Carpets too soft, painless flowers on the first try (I know, it sounds "masochistic" but that's the effect it must do to operate, ie has to get you to relax). In short, instead of wanting to save money, better put aside the money to "true".</v>
      </c>
    </row>
    <row r="2367">
      <c r="A2367" s="1">
        <v>3.0</v>
      </c>
      <c r="B2367" s="1" t="s">
        <v>2352</v>
      </c>
      <c r="C2367" t="str">
        <f>IFERROR(__xludf.DUMMYFUNCTION("GOOGLETRANSLATE(B2367, ""fr"", ""en"")"),"Good but not resistant socks are already pierced below (friction in the palm) The principle of a low sock and good, but the quality is a bit light")</f>
        <v>Good but not resistant socks are already pierced below (friction in the palm) The principle of a low sock and good, but the quality is a bit light</v>
      </c>
    </row>
    <row r="2368">
      <c r="A2368" s="1">
        <v>3.0</v>
      </c>
      <c r="B2368" s="1" t="s">
        <v>2353</v>
      </c>
      <c r="C2368" t="str">
        <f>IFERROR(__xludf.DUMMYFUNCTION("GOOGLETRANSLATE(B2368, ""fr"", ""en"")"),"Very nice pendant It's a nice but be careful there because it is really very end despite that it is very beautiful")</f>
        <v>Very nice pendant It's a nice but be careful there because it is really very end despite that it is very beautiful</v>
      </c>
    </row>
    <row r="2369">
      <c r="A2369" s="1">
        <v>4.0</v>
      </c>
      <c r="B2369" s="1" t="s">
        <v>2354</v>
      </c>
      <c r="C2369" t="str">
        <f>IFERROR(__xludf.DUMMYFUNCTION("GOOGLETRANSLATE(B2369, ""fr"", ""en"")"),"Can still do better This is perfect, it is sure not to be wrong but it would be even better if we could add a note.")</f>
        <v>Can still do better This is perfect, it is sure not to be wrong but it would be even better if we could add a note.</v>
      </c>
    </row>
    <row r="2370">
      <c r="A2370" s="1">
        <v>4.0</v>
      </c>
      <c r="B2370" s="1" t="s">
        <v>2355</v>
      </c>
      <c r="C2370" t="str">
        <f>IFERROR(__xludf.DUMMYFUNCTION("GOOGLETRANSLATE(B2370, ""fr"", ""en"")"),"Bad Pretty flashy not study for my job (body shop painter), 2 months, I can already see the wards, I will not say disappointed because it is held at the time branded as f ..... or ks ..... but a certain fragility")</f>
        <v>Bad Pretty flashy not study for my job (body shop painter), 2 months, I can already see the wards, I will not say disappointed because it is held at the time branded as f ..... or ks ..... but a certain fragility</v>
      </c>
    </row>
    <row r="2371">
      <c r="A2371" s="1">
        <v>4.0</v>
      </c>
      <c r="B2371" s="1" t="s">
        <v>2356</v>
      </c>
      <c r="C2371" t="str">
        <f>IFERROR(__xludf.DUMMYFUNCTION("GOOGLETRANSLATE(B2371, ""fr"", ""en"")"),"Not bad Nice, beautiful design. See with time ...")</f>
        <v>Not bad Nice, beautiful design. See with time ...</v>
      </c>
    </row>
    <row r="2372">
      <c r="A2372" s="1">
        <v>4.0</v>
      </c>
      <c r="B2372" s="1" t="s">
        <v>2357</v>
      </c>
      <c r="C2372" t="str">
        <f>IFERROR(__xludf.DUMMYFUNCTION("GOOGLETRANSLATE(B2372, ""fr"", ""en"")"),"Excellent Received quickly, in a single package but the shoes were in perfect condition. Pleasant was wearing, I ordered my usual size and fit me perfectly. The laces are great and look good. 1 month wear and no complaints")</f>
        <v>Excellent Received quickly, in a single package but the shoes were in perfect condition. Pleasant was wearing, I ordered my usual size and fit me perfectly. The laces are great and look good. 1 month wear and no complaints</v>
      </c>
    </row>
    <row r="2373">
      <c r="A2373" s="1">
        <v>5.0</v>
      </c>
      <c r="B2373" s="1" t="s">
        <v>2358</v>
      </c>
      <c r="C2373" t="str">
        <f>IFERROR(__xludf.DUMMYFUNCTION("GOOGLETRANSLATE(B2373, ""fr"", ""en"")"),"Great ! Very useful, easy to use. Its large screen enables easy readability of the remaining time. Purchase recommend despite a price a little high.")</f>
        <v>Great ! Very useful, easy to use. Its large screen enables easy readability of the remaining time. Purchase recommend despite a price a little high.</v>
      </c>
    </row>
    <row r="2374">
      <c r="A2374" s="1">
        <v>5.0</v>
      </c>
      <c r="B2374" s="1" t="s">
        <v>2359</v>
      </c>
      <c r="C2374" t="str">
        <f>IFERROR(__xludf.DUMMYFUNCTION("GOOGLETRANSLATE(B2374, ""fr"", ""en"")"),"Several colors can be very reasonable price. No special occasions shape and color I liked,")</f>
        <v>Several colors can be very reasonable price. No special occasions shape and color I liked,</v>
      </c>
    </row>
    <row r="2375">
      <c r="A2375" s="1">
        <v>5.0</v>
      </c>
      <c r="B2375" s="1" t="s">
        <v>2360</v>
      </c>
      <c r="C2375" t="str">
        <f>IFERROR(__xludf.DUMMYFUNCTION("GOOGLETRANSLATE(B2375, ""fr"", ""en"")"),"Very very confortablee I took size 37.5 and 38 not usual size")</f>
        <v>Very very confortablee I took size 37.5 and 38 not usual size</v>
      </c>
    </row>
    <row r="2376">
      <c r="A2376" s="1">
        <v>5.0</v>
      </c>
      <c r="B2376" s="1" t="s">
        <v>2361</v>
      </c>
      <c r="C2376" t="str">
        <f>IFERROR(__xludf.DUMMYFUNCTION("GOOGLETRANSLATE(B2376, ""fr"", ""en"")"),"Kit KARAOKE amp with 2 microphones Wireless KARAOKE This set has become indispensable to finish our evenings Saturday night singing. The 2 wireless microphones are wandering hands. Blue light is also his little effect in the evening with candlelight. 2 mi"&amp;"crophones aluminum are quite heavy and are really professional. The radio transmission is good and I can not recommend this product.")</f>
        <v>Kit KARAOKE amp with 2 microphones Wireless KARAOKE This set has become indispensable to finish our evenings Saturday night singing. The 2 wireless microphones are wandering hands. Blue light is also his little effect in the evening with candlelight. 2 microphones aluminum are quite heavy and are really professional. The radio transmission is good and I can not recommend this product.</v>
      </c>
    </row>
    <row r="2377">
      <c r="A2377" s="1">
        <v>5.0</v>
      </c>
      <c r="B2377" s="1" t="s">
        <v>2362</v>
      </c>
      <c r="C2377" t="str">
        <f>IFERROR(__xludf.DUMMYFUNCTION("GOOGLETRANSLATE(B2377, ""fr"", ""en"")"),"SUPER Finally a supplier who understood that some people are already working their schedule next year, plus French agenda. We only regret that 2021 is not already available, but hey, maybe too demanding. thank you anyway")</f>
        <v>SUPER Finally a supplier who understood that some people are already working their schedule next year, plus French agenda. We only regret that 2021 is not already available, but hey, maybe too demanding. thank you anyway</v>
      </c>
    </row>
    <row r="2378">
      <c r="A2378" s="1">
        <v>5.0</v>
      </c>
      <c r="B2378" s="1" t="s">
        <v>2363</v>
      </c>
      <c r="C2378" t="str">
        <f>IFERROR(__xludf.DUMMYFUNCTION("GOOGLETRANSLATE(B2378, ""fr"", ""en"")"),"Basketball sports I bought these shoes in purple and the color is very pretty. I took my usual size and do not shake me at the ankle, they are doing well. I use it for jogging and the gym and soles cushion shocks perfectly when I run. The shoes have vents"&amp;" that allow the foot to breathe. Quite satisfied.")</f>
        <v>Basketball sports I bought these shoes in purple and the color is very pretty. I took my usual size and do not shake me at the ankle, they are doing well. I use it for jogging and the gym and soles cushion shocks perfectly when I run. The shoes have vents that allow the foot to breathe. Quite satisfied.</v>
      </c>
    </row>
    <row r="2379">
      <c r="A2379" s="1">
        <v>5.0</v>
      </c>
      <c r="B2379" s="1" t="s">
        <v>2364</v>
      </c>
      <c r="C2379" t="str">
        <f>IFERROR(__xludf.DUMMYFUNCTION("GOOGLETRANSLATE(B2379, ""fr"", ""en"")"),"Baby love for once baby can paint with fingers and loves :-)")</f>
        <v>Baby love for once baby can paint with fingers and loves :-)</v>
      </c>
    </row>
    <row r="2380">
      <c r="A2380" s="1">
        <v>5.0</v>
      </c>
      <c r="B2380" s="1" t="s">
        <v>2365</v>
      </c>
      <c r="C2380" t="str">
        <f>IFERROR(__xludf.DUMMYFUNCTION("GOOGLETRANSLATE(B2380, ""fr"", ""en"")"),"The perfect Tong Tong perfect. The former I had were bought in stores and it cellle no complaints. I took the size by referring to the size chart. The tong ideal for out of the shower and hang out at home!")</f>
        <v>The perfect Tong Tong perfect. The former I had were bought in stores and it cellle no complaints. I took the size by referring to the size chart. The tong ideal for out of the shower and hang out at home!</v>
      </c>
    </row>
    <row r="2381">
      <c r="A2381" s="1">
        <v>5.0</v>
      </c>
      <c r="B2381" s="1" t="s">
        <v>2366</v>
      </c>
      <c r="C2381" t="str">
        <f>IFERROR(__xludf.DUMMYFUNCTION("GOOGLETRANSLATE(B2381, ""fr"", ""en"")"),"Very class Earrings received in a beautiful box. They are very beautiful, with a small rubber button so they do not move. I am very satisfied with my purchase.")</f>
        <v>Very class Earrings received in a beautiful box. They are very beautiful, with a small rubber button so they do not move. I am very satisfied with my purchase.</v>
      </c>
    </row>
    <row r="2382">
      <c r="A2382" s="1">
        <v>5.0</v>
      </c>
      <c r="B2382" s="1" t="s">
        <v>2367</v>
      </c>
      <c r="C2382" t="str">
        <f>IFERROR(__xludf.DUMMYFUNCTION("GOOGLETRANSLATE(B2382, ""fr"", ""en"")"),"Gorgeous bra Very comfortable to wear, good material, well sewn, no bad details. Good product !")</f>
        <v>Gorgeous bra Very comfortable to wear, good material, well sewn, no bad details. Good product !</v>
      </c>
    </row>
    <row r="2383">
      <c r="A2383" s="1">
        <v>5.0</v>
      </c>
      <c r="B2383" s="1" t="s">
        <v>2368</v>
      </c>
      <c r="C2383" t="str">
        <f>IFERROR(__xludf.DUMMYFUNCTION("GOOGLETRANSLATE(B2383, ""fr"", ""en"")"),"100% 100% ok ok")</f>
        <v>100% 100% ok ok</v>
      </c>
    </row>
    <row r="2384">
      <c r="A2384" s="1">
        <v>5.0</v>
      </c>
      <c r="B2384" s="1" t="s">
        <v>2369</v>
      </c>
      <c r="C2384" t="str">
        <f>IFERROR(__xludf.DUMMYFUNCTION("GOOGLETRANSLATE(B2384, ""fr"", ""en"")"),"Very friendly Really nice I love")</f>
        <v>Very friendly Really nice I love</v>
      </c>
    </row>
    <row r="2385">
      <c r="A2385" s="1">
        <v>5.0</v>
      </c>
      <c r="B2385" s="1" t="s">
        <v>2370</v>
      </c>
      <c r="C2385" t="str">
        <f>IFERROR(__xludf.DUMMYFUNCTION("GOOGLETRANSLATE(B2385, ""fr"", ""en"")"),"Comfortable and convenient Complies")</f>
        <v>Comfortable and convenient Complies</v>
      </c>
    </row>
    <row r="2386">
      <c r="A2386" s="1">
        <v>5.0</v>
      </c>
      <c r="B2386" s="1" t="s">
        <v>2371</v>
      </c>
      <c r="C2386" t="str">
        <f>IFERROR(__xludf.DUMMYFUNCTION("GOOGLETRANSLATE(B2386, ""fr"", ""en"")"),"Beefy used every day for my job, it seems indestructible compared to many models that I already ""tested"".")</f>
        <v>Beefy used every day for my job, it seems indestructible compared to many models that I already "tested".</v>
      </c>
    </row>
    <row r="2387">
      <c r="A2387" s="1">
        <v>5.0</v>
      </c>
      <c r="B2387" s="1" t="s">
        <v>2372</v>
      </c>
      <c r="C2387" t="str">
        <f>IFERROR(__xludf.DUMMYFUNCTION("GOOGLETRANSLATE(B2387, ""fr"", ""en"")"),"Top Very beautiful bracelet! 😉 I recommend!")</f>
        <v>Top Very beautiful bracelet! 😉 I recommend!</v>
      </c>
    </row>
    <row r="2388">
      <c r="A2388" s="1">
        <v>2.0</v>
      </c>
      <c r="B2388" s="1" t="s">
        <v>2373</v>
      </c>
      <c r="C2388" t="str">
        <f>IFERROR(__xludf.DUMMYFUNCTION("GOOGLETRANSLATE(B2388, ""fr"", ""en"")"),"Far too small I just got it running, there a worry, I have watched it before placing the order size guide I size 38 jeans pants, so since it is placed in the guide table sizes 38 to 40 that is S, I made a S, bha missed, it's too small a size below, it too"&amp;"k me a aurrait M take as I thought, but I preferred fied in the table on the jog control page. I have difficulty understanding those who find that size large, I absolutely contrary effect, it's a shame, the quality is not bad for the taking, but it will s"&amp;"tay in the closet, pfff .........")</f>
        <v>Far too small I just got it running, there a worry, I have watched it before placing the order size guide I size 38 jeans pants, so since it is placed in the guide table sizes 38 to 40 that is S, I made a S, bha missed, it's too small a size below, it took me a aurrait M take as I thought, but I preferred fied in the table on the jog control page. I have difficulty understanding those who find that size large, I absolutely contrary effect, it's a shame, the quality is not bad for the taking, but it will stay in the closet, pfff .........</v>
      </c>
    </row>
    <row r="2389">
      <c r="A2389" s="1">
        <v>1.0</v>
      </c>
      <c r="B2389" s="1" t="s">
        <v>2374</v>
      </c>
      <c r="C2389" t="str">
        <f>IFERROR(__xludf.DUMMYFUNCTION("GOOGLETRANSLATE(B2389, ""fr"", ""en"")"),"Lack gently rolls rather small with a big hole. toilet paper and enough blatant lack of sweetness; in short, a toilet paper low end and uneconomical.")</f>
        <v>Lack gently rolls rather small with a big hole. toilet paper and enough blatant lack of sweetness; in short, a toilet paper low end and uneconomical.</v>
      </c>
    </row>
    <row r="2390">
      <c r="A2390" s="1">
        <v>1.0</v>
      </c>
      <c r="B2390" s="1" t="s">
        <v>2375</v>
      </c>
      <c r="C2390" t="str">
        <f>IFERROR(__xludf.DUMMYFUNCTION("GOOGLETRANSLATE(B2390, ""fr"", ""en"")"),"Product arrived disappointed, soleplate badly adhered so that the shoe takes water. One solution proposed by amazon: recommend them, except that they are now 159 euros instead of 102. No commercial gesture can finally if a good 5 euros. I find this unacce"&amp;"ptable.")</f>
        <v>Product arrived disappointed, soleplate badly adhered so that the shoe takes water. One solution proposed by amazon: recommend them, except that they are now 159 euros instead of 102. No commercial gesture can finally if a good 5 euros. I find this unacceptable.</v>
      </c>
    </row>
    <row r="2391">
      <c r="A2391" s="1">
        <v>3.0</v>
      </c>
      <c r="B2391" s="1" t="s">
        <v>2376</v>
      </c>
      <c r="C2391" t="str">
        <f>IFERROR(__xludf.DUMMYFUNCTION("GOOGLETRANSLATE(B2391, ""fr"", ""en"")"),"Useful Lack flap down to avoid losing leaves")</f>
        <v>Useful Lack flap down to avoid losing leaves</v>
      </c>
    </row>
    <row r="2392">
      <c r="A2392" s="1">
        <v>4.0</v>
      </c>
      <c r="B2392" s="1" t="s">
        <v>2377</v>
      </c>
      <c r="C2392" t="str">
        <f>IFERROR(__xludf.DUMMYFUNCTION("GOOGLETRANSLATE(B2392, ""fr"", ""en"")"),"Nice effect These earrings are beautiful shame they are a bit heavy and bulky in thickness suddenly they bend down and the effect is less nice on the ear. Beautiful setting for the store")</f>
        <v>Nice effect These earrings are beautiful shame they are a bit heavy and bulky in thickness suddenly they bend down and the effect is less nice on the ear. Beautiful setting for the store</v>
      </c>
    </row>
    <row r="2393">
      <c r="A2393" s="1">
        <v>4.0</v>
      </c>
      <c r="B2393" s="1" t="s">
        <v>2378</v>
      </c>
      <c r="C2393" t="str">
        <f>IFERROR(__xludf.DUMMYFUNCTION("GOOGLETRANSLATE(B2393, ""fr"", ""en"")"),"Pretty Meets picture. Very pretty. fine channel without stopper at the ends; the two elements can therefore fall when removing the collar.")</f>
        <v>Pretty Meets picture. Very pretty. fine channel without stopper at the ends; the two elements can therefore fall when removing the collar.</v>
      </c>
    </row>
    <row r="2394">
      <c r="A2394" s="1">
        <v>4.0</v>
      </c>
      <c r="B2394" s="1" t="s">
        <v>2379</v>
      </c>
      <c r="C2394" t="str">
        <f>IFERROR(__xludf.DUMMYFUNCTION("GOOGLETRANSLATE(B2394, ""fr"", ""en"")"),"Stones beautiful I love this area of ​​black stones volcanic style, a little flat the size of the little big a bracelet for my small wrist, maybe it's a human model?")</f>
        <v>Stones beautiful I love this area of ​​black stones volcanic style, a little flat the size of the little big a bracelet for my small wrist, maybe it's a human model?</v>
      </c>
    </row>
    <row r="2395">
      <c r="A2395" s="1">
        <v>4.0</v>
      </c>
      <c r="B2395" s="1" t="s">
        <v>2380</v>
      </c>
      <c r="C2395" t="str">
        <f>IFERROR(__xludf.DUMMYFUNCTION("GOOGLETRANSLATE(B2395, ""fr"", ""en"")"),"Take a size bigger Ras")</f>
        <v>Take a size bigger Ras</v>
      </c>
    </row>
    <row r="2396">
      <c r="A2396" s="1">
        <v>5.0</v>
      </c>
      <c r="B2396" s="1" t="s">
        <v>2381</v>
      </c>
      <c r="C2396" t="str">
        <f>IFERROR(__xludf.DUMMYFUNCTION("GOOGLETRANSLATE(B2396, ""fr"", ""en"")"),"Leather Necklace No decue product of good quality. pretty solid matter. I make time savings jewelry necklaces to leather")</f>
        <v>Leather Necklace No decue product of good quality. pretty solid matter. I make time savings jewelry necklaces to leather</v>
      </c>
    </row>
    <row r="2397">
      <c r="A2397" s="1">
        <v>5.0</v>
      </c>
      <c r="B2397" s="1" t="s">
        <v>2382</v>
      </c>
      <c r="C2397" t="str">
        <f>IFERROR(__xludf.DUMMYFUNCTION("GOOGLETRANSLATE(B2397, ""fr"", ""en"")"),"My daughter loves the Super j 'have recommended other")</f>
        <v>My daughter loves the Super j 'have recommended other</v>
      </c>
    </row>
    <row r="2398">
      <c r="A2398" s="1">
        <v>5.0</v>
      </c>
      <c r="B2398" s="1" t="s">
        <v>2383</v>
      </c>
      <c r="C2398" t="str">
        <f>IFERROR(__xludf.DUMMYFUNCTION("GOOGLETRANSLATE(B2398, ""fr"", ""en"")"),"A beautiful product ... so british After various research on the toaster (internet, magazines consumers ...), my choice fell on this model that appears to offer the advantage of manufacturing strength, present many functions and, incidentally, to highligh"&amp;"t the beauty of the product. For the record, and Russel Hobbs is an old English house that has a solid reputation for the manufacture of its products retro range, as this indeed seems straight out of the kitchens of the 50s, in the novels of Agatha Christ"&amp;"ie. The body is made of steel empire red (my choice) topped with a carved Victorian perimeter stainless steel. A vintage dial indicates the time to toast / heat your breads or pastries (never exceeding 3 minutes) depending on the degree of cooking chosen."&amp;" The more is the grid (provided) that is placed on the toaster and which allows to gently heat the pastries are not or hardly in the slots (about 3 cm) for toasting the toast. Cooking is relatively fast, homogeneous (the walls are slightly warm but not ho"&amp;"t!) And the power of the unit requires proper selection, using a small lever, the level (1 to 6) cooking adequate (I've set to 2). Finally, a useful crumb tray (and yes, there is one!) Keeps the unit clean and clean just as quickly with relative ease. The"&amp;" defrost function is also provided and it is possible to raise the toast intrusion controller to verify, firsthand, the degree of cooking while maintaining the operating cycle. Finally, the value is very satisfactory compared to other products (much more "&amp;"expensive for some) does not have the same quality or the same aesthetic one ....")</f>
        <v>A beautiful product ... so british After various research on the toaster (internet, magazines consumers ...), my choice fell on this model that appears to offer the advantage of manufacturing strength, present many functions and, incidentally, to highlight the beauty of the product. For the record, and Russel Hobbs is an old English house that has a solid reputation for the manufacture of its products retro range, as this indeed seems straight out of the kitchens of the 50s, in the novels of Agatha Christie. The body is made of steel empire red (my choice) topped with a carved Victorian perimeter stainless steel. A vintage dial indicates the time to toast / heat your breads or pastries (never exceeding 3 minutes) depending on the degree of cooking chosen. The more is the grid (provided) that is placed on the toaster and which allows to gently heat the pastries are not or hardly in the slots (about 3 cm) for toasting the toast. Cooking is relatively fast, homogeneous (the walls are slightly warm but not hot!) And the power of the unit requires proper selection, using a small lever, the level (1 to 6) cooking adequate (I've set to 2). Finally, a useful crumb tray (and yes, there is one!) Keeps the unit clean and clean just as quickly with relative ease. The defrost function is also provided and it is possible to raise the toast intrusion controller to verify, firsthand, the degree of cooking while maintaining the operating cycle. Finally, the value is very satisfactory compared to other products (much more expensive for some) does not have the same quality or the same aesthetic one ....</v>
      </c>
    </row>
    <row r="2399">
      <c r="A2399" s="1">
        <v>5.0</v>
      </c>
      <c r="B2399" s="1" t="s">
        <v>2384</v>
      </c>
      <c r="C2399" t="str">
        <f>IFERROR(__xludf.DUMMYFUNCTION("GOOGLETRANSLATE(B2399, ""fr"", ""en"")"),"Good ground coffee taste good product quality Good ground coffee thermos that keeps the coffee hot for a long time Setting the number of cups appreciable easy cleaning and intuitive use")</f>
        <v>Good ground coffee taste good product quality Good ground coffee thermos that keeps the coffee hot for a long time Setting the number of cups appreciable easy cleaning and intuitive use</v>
      </c>
    </row>
    <row r="2400">
      <c r="A2400" s="1">
        <v>5.0</v>
      </c>
      <c r="B2400" s="1" t="s">
        <v>2385</v>
      </c>
      <c r="C2400" t="str">
        <f>IFERROR(__xludf.DUMMYFUNCTION("GOOGLETRANSLATE(B2400, ""fr"", ""en"")"),"Great I'm very happy with my purchase.")</f>
        <v>Great I'm very happy with my purchase.</v>
      </c>
    </row>
    <row r="2401">
      <c r="A2401" s="1">
        <v>5.0</v>
      </c>
      <c r="B2401" s="1" t="s">
        <v>2386</v>
      </c>
      <c r="C2401" t="str">
        <f>IFERROR(__xludf.DUMMYFUNCTION("GOOGLETRANSLATE(B2401, ""fr"", ""en"")"),"very good quality are not worth those of the 80 manufactured in England but even so, they still have the class and take still good road")</f>
        <v>very good quality are not worth those of the 80 manufactured in England but even so, they still have the class and take still good road</v>
      </c>
    </row>
    <row r="2402">
      <c r="A2402" s="1">
        <v>5.0</v>
      </c>
      <c r="B2402" s="1" t="s">
        <v>2387</v>
      </c>
      <c r="C2402" t="str">
        <f>IFERROR(__xludf.DUMMYFUNCTION("GOOGLETRANSLATE(B2402, ""fr"", ""en"")"),"Warm and comfortable. perfect 👌")</f>
        <v>Warm and comfortable. perfect 👌</v>
      </c>
    </row>
    <row r="2403">
      <c r="A2403" s="1">
        <v>5.0</v>
      </c>
      <c r="B2403" s="1" t="s">
        <v>2388</v>
      </c>
      <c r="C2403" t="str">
        <f>IFERROR(__xludf.DUMMYFUNCTION("GOOGLETRANSLATE(B2403, ""fr"", ""en"")"),"Good My son age rate adaptation used to these teats with a very age-appropriate rate compared to other brands")</f>
        <v>Good My son age rate adaptation used to these teats with a very age-appropriate rate compared to other brands</v>
      </c>
    </row>
    <row r="2404">
      <c r="A2404" s="1">
        <v>5.0</v>
      </c>
      <c r="B2404" s="1" t="s">
        <v>2389</v>
      </c>
      <c r="C2404" t="str">
        <f>IFERROR(__xludf.DUMMYFUNCTION("GOOGLETRANSLATE(B2404, ""fr"", ""en"")"),"Good Product That makes 2 months that I have and I am delighted. As maternal assistant I served very often. You can put 8 bottles (small, large, different brand). And teats and caps above. You can even put bottles of adults (Tupperware, Soda Stream ...) T"&amp;"he water drains well in the recovery through holes, water not so stagnating. It is solid I recommend this product.")</f>
        <v>Good Product That makes 2 months that I have and I am delighted. As maternal assistant I served very often. You can put 8 bottles (small, large, different brand). And teats and caps above. You can even put bottles of adults (Tupperware, Soda Stream ...) The water drains well in the recovery through holes, water not so stagnating. It is solid I recommend this product.</v>
      </c>
    </row>
    <row r="2405">
      <c r="A2405" s="1">
        <v>5.0</v>
      </c>
      <c r="B2405" s="1" t="s">
        <v>2390</v>
      </c>
      <c r="C2405" t="str">
        <f>IFERROR(__xludf.DUMMYFUNCTION("GOOGLETRANSLATE(B2405, ""fr"", ""en"")"),"Perfect ... for me, very happy, adapted to the size order, light, costal, good price, recommend no problem ..")</f>
        <v>Perfect ... for me, very happy, adapted to the size order, light, costal, good price, recommend no problem ..</v>
      </c>
    </row>
    <row r="2406">
      <c r="A2406" s="1">
        <v>5.0</v>
      </c>
      <c r="B2406" s="1" t="s">
        <v>2391</v>
      </c>
      <c r="C2406" t="str">
        <f>IFERROR(__xludf.DUMMYFUNCTION("GOOGLETRANSLATE(B2406, ""fr"", ""en"")"),"Amazon always amaze me. Wow, bought Thursday evening delivery on Saturday morning, while I have not even asked for express delivery, speed of Amazon and carriers always amaze me. (Metropolitan France). So what about those Timberland, they are perfect! The"&amp;"y are indeed true, true in their cardboard, do not fear it, and especially take good half see one size smaller. I followed what others we have said above, and in the end I make 45 I gained 44 and it is that I had. (Although I advise you one size smaller p"&amp;"ersonal, rather than half).")</f>
        <v>Amazon always amaze me. Wow, bought Thursday evening delivery on Saturday morning, while I have not even asked for express delivery, speed of Amazon and carriers always amaze me. (Metropolitan France). So what about those Timberland, they are perfect! They are indeed true, true in their cardboard, do not fear it, and especially take good half see one size smaller. I followed what others we have said above, and in the end I make 45 I gained 44 and it is that I had. (Although I advise you one size smaller personal, rather than half).</v>
      </c>
    </row>
    <row r="2407">
      <c r="A2407" s="1">
        <v>5.0</v>
      </c>
      <c r="B2407" s="1" t="s">
        <v>2392</v>
      </c>
      <c r="C2407" t="str">
        <f>IFERROR(__xludf.DUMMYFUNCTION("GOOGLETRANSLATE(B2407, ""fr"", ""en"")"),"Awesome. Just perfect")</f>
        <v>Awesome. Just perfect</v>
      </c>
    </row>
    <row r="2408">
      <c r="A2408" s="1">
        <v>5.0</v>
      </c>
      <c r="B2408" s="1" t="s">
        <v>2393</v>
      </c>
      <c r="C2408" t="str">
        <f>IFERROR(__xludf.DUMMYFUNCTION("GOOGLETRANSLATE(B2408, ""fr"", ""en"")"),"very good watch After almost 2 years of use no complaints. No need to deal with it is always at the exact time with automatic switchover for summer and winter hours. The sapphire crystal, the case and stainless steel bracelet are impeccable.")</f>
        <v>very good watch After almost 2 years of use no complaints. No need to deal with it is always at the exact time with automatic switchover for summer and winter hours. The sapphire crystal, the case and stainless steel bracelet are impeccable.</v>
      </c>
    </row>
    <row r="2409">
      <c r="A2409" s="1">
        <v>5.0</v>
      </c>
      <c r="B2409" s="1" t="s">
        <v>2394</v>
      </c>
      <c r="C2409" t="str">
        <f>IFERROR(__xludf.DUMMYFUNCTION("GOOGLETRANSLATE(B2409, ""fr"", ""en"")"),"Singing freely Orders were received very well packaged and on time. The microphone is a beautiful bright pink, and we found it very good. The device is lightweight, easy to handle and hold in hand, and I really recommend this microphone")</f>
        <v>Singing freely Orders were received very well packaged and on time. The microphone is a beautiful bright pink, and we found it very good. The device is lightweight, easy to handle and hold in hand, and I really recommend this microphone</v>
      </c>
    </row>
    <row r="2410">
      <c r="A2410" s="1">
        <v>5.0</v>
      </c>
      <c r="B2410" s="1" t="s">
        <v>2395</v>
      </c>
      <c r="C2410" t="str">
        <f>IFERROR(__xludf.DUMMYFUNCTION("GOOGLETRANSLATE(B2410, ""fr"", ""en"")"),"Excellent quality / price Very good microphone, ideal for beginners or karaoke evenings. It comes in a rugged plastic case, with a cut foam to its size and a support to be able to fit on a foot. The sound is very good once it has gauged the proper distanc"&amp;"e you set it to obtain the best. The weight is quite high but it gives it a qualitative aspect very seriously. A great product at a reasonable price, I recommend it completely.")</f>
        <v>Excellent quality / price Very good microphone, ideal for beginners or karaoke evenings. It comes in a rugged plastic case, with a cut foam to its size and a support to be able to fit on a foot. The sound is very good once it has gauged the proper distance you set it to obtain the best. The weight is quite high but it gives it a qualitative aspect very seriously. A great product at a reasonable price, I recommend it completely.</v>
      </c>
    </row>
    <row r="2411">
      <c r="A2411" s="1">
        <v>2.0</v>
      </c>
      <c r="B2411" s="1" t="s">
        <v>2396</v>
      </c>
      <c r="C2411" t="str">
        <f>IFERROR(__xludf.DUMMYFUNCTION("GOOGLETRANSLATE(B2411, ""fr"", ""en"")"),"Small enough very elegant shoes. The problem that the size is quite small. I chose one of 44 EU despite my shoe size is 43 but still small!")</f>
        <v>Small enough very elegant shoes. The problem that the size is quite small. I chose one of 44 EU despite my shoe size is 43 but still small!</v>
      </c>
    </row>
    <row r="2412">
      <c r="A2412" s="1">
        <v>1.0</v>
      </c>
      <c r="B2412" s="1" t="s">
        <v>2397</v>
      </c>
      <c r="C2412" t="str">
        <f>IFERROR(__xludf.DUMMYFUNCTION("GOOGLETRANSLATE(B2412, ""fr"", ""en"")"),"QUALITY IS NOT IN RV This product sold and shipped by Amazon is not a confidence criterion apparently. Indeed, a few months ago I ordered a black cartridge HP 302 XL, compatible with my HP printer, but it does not recognize. I have only to throw it in the"&amp;" trash - I am very disappointed.")</f>
        <v>QUALITY IS NOT IN RV This product sold and shipped by Amazon is not a confidence criterion apparently. Indeed, a few months ago I ordered a black cartridge HP 302 XL, compatible with my HP printer, but it does not recognize. I have only to throw it in the trash - I am very disappointed.</v>
      </c>
    </row>
    <row r="2413">
      <c r="A2413" s="1">
        <v>3.0</v>
      </c>
      <c r="B2413" s="1" t="s">
        <v>2398</v>
      </c>
      <c r="C2413" t="str">
        <f>IFERROR(__xludf.DUMMYFUNCTION("GOOGLETRANSLATE(B2413, ""fr"", ""en"")"),"Fair Beautiful shirt that has had its effect unfortunately washes force the nike point comes off that's unfortunate")</f>
        <v>Fair Beautiful shirt that has had its effect unfortunately washes force the nike point comes off that's unfortunate</v>
      </c>
    </row>
    <row r="2414">
      <c r="A2414" s="1">
        <v>3.0</v>
      </c>
      <c r="B2414" s="1" t="s">
        <v>2399</v>
      </c>
      <c r="C2414" t="str">
        <f>IFERROR(__xludf.DUMMYFUNCTION("GOOGLETRANSLATE(B2414, ""fr"", ""en"")"),"Beautiful and average quality. We purchased this bola immediately announcing my pregnancy. Two months of purchase, the bola is a few places down because the equipment used for the ball is fine. Also the cord broke, I made a knot to keep the time to buy an"&amp;"other cord. This is very unfortunate because it is a nice article but of low quality.")</f>
        <v>Beautiful and average quality. We purchased this bola immediately announcing my pregnancy. Two months of purchase, the bola is a few places down because the equipment used for the ball is fine. Also the cord broke, I made a knot to keep the time to buy another cord. This is very unfortunate because it is a nice article but of low quality.</v>
      </c>
    </row>
    <row r="2415">
      <c r="A2415" s="1">
        <v>4.0</v>
      </c>
      <c r="B2415" s="1" t="s">
        <v>2400</v>
      </c>
      <c r="C2415" t="str">
        <f>IFERROR(__xludf.DUMMYFUNCTION("GOOGLETRANSLATE(B2415, ""fr"", ""en"")"),"Size too small Excellent quality sweatshirt, nice cut, but size very small compared to other brands popular in college!")</f>
        <v>Size too small Excellent quality sweatshirt, nice cut, but size very small compared to other brands popular in college!</v>
      </c>
    </row>
    <row r="2416">
      <c r="A2416" s="1">
        <v>4.0</v>
      </c>
      <c r="B2416" s="1" t="s">
        <v>2401</v>
      </c>
      <c r="C2416" t="str">
        <f>IFERROR(__xludf.DUMMYFUNCTION("GOOGLETRANSLATE(B2416, ""fr"", ""en"")"),"Bottle warmer a little hard to understand explanations")</f>
        <v>Bottle warmer a little hard to understand explanations</v>
      </c>
    </row>
    <row r="2417">
      <c r="A2417" s="1">
        <v>4.0</v>
      </c>
      <c r="B2417" s="1" t="s">
        <v>2402</v>
      </c>
      <c r="C2417" t="str">
        <f>IFERROR(__xludf.DUMMYFUNCTION("GOOGLETRANSLATE(B2417, ""fr"", ""en"")"),"Practical pack and well thought out, but beware the seams of the front pocket bag Beautiful, nickel proportions, I can put everything I need, including my checkbook passing height. I also love the double color denim. Only downside, the front pocket seams "&amp;"which are too light at the corners of the zipper. I will have to consolidate because obviously they will quickly let go as they are stretched.")</f>
        <v>Practical pack and well thought out, but beware the seams of the front pocket bag Beautiful, nickel proportions, I can put everything I need, including my checkbook passing height. I also love the double color denim. Only downside, the front pocket seams which are too light at the corners of the zipper. I will have to consolidate because obviously they will quickly let go as they are stretched.</v>
      </c>
    </row>
    <row r="2418">
      <c r="A2418" s="1">
        <v>4.0</v>
      </c>
      <c r="B2418" s="1" t="s">
        <v>2403</v>
      </c>
      <c r="C2418" t="str">
        <f>IFERROR(__xludf.DUMMYFUNCTION("GOOGLETRANSLATE(B2418, ""fr"", ""en"")"),"Bad Unhappy about the quality of packaging and quality of the marking on the product. The assay numbers are erased half. If the bottles are.")</f>
        <v>Bad Unhappy about the quality of packaging and quality of the marking on the product. The assay numbers are erased half. If the bottles are.</v>
      </c>
    </row>
    <row r="2419">
      <c r="A2419" s="1">
        <v>4.0</v>
      </c>
      <c r="B2419" s="1" t="s">
        <v>2404</v>
      </c>
      <c r="C2419" t="str">
        <f>IFERROR(__xludf.DUMMYFUNCTION("GOOGLETRANSLATE(B2419, ""fr"", ""en"")"),"Although comfortable shoes because quite wide feet are comfortable in, the size is just good nickel, good value for money.")</f>
        <v>Although comfortable shoes because quite wide feet are comfortable in, the size is just good nickel, good value for money.</v>
      </c>
    </row>
    <row r="2420">
      <c r="A2420" s="1">
        <v>5.0</v>
      </c>
      <c r="B2420" s="1" t="s">
        <v>2405</v>
      </c>
      <c r="C2420" t="str">
        <f>IFERROR(__xludf.DUMMYFUNCTION("GOOGLETRANSLATE(B2420, ""fr"", ""en"")"),"cool cool")</f>
        <v>cool cool</v>
      </c>
    </row>
    <row r="2421">
      <c r="A2421" s="1">
        <v>5.0</v>
      </c>
      <c r="B2421" s="1" t="s">
        <v>2406</v>
      </c>
      <c r="C2421" t="str">
        <f>IFERROR(__xludf.DUMMYFUNCTION("GOOGLETRANSLATE(B2421, ""fr"", ""en"")"),"Thank you, thank you very much")</f>
        <v>Thank you, thank you very much</v>
      </c>
    </row>
    <row r="2422">
      <c r="A2422" s="1">
        <v>5.0</v>
      </c>
      <c r="B2422" s="1" t="s">
        <v>2407</v>
      </c>
      <c r="C2422" t="str">
        <f>IFERROR(__xludf.DUMMYFUNCTION("GOOGLETRANSLATE(B2422, ""fr"", ""en"")"),"Very good buy Chain well I wear it every day it does not move ... very good buy")</f>
        <v>Very good buy Chain well I wear it every day it does not move ... very good buy</v>
      </c>
    </row>
    <row r="2423">
      <c r="A2423" s="1">
        <v>5.0</v>
      </c>
      <c r="B2423" s="1" t="s">
        <v>2408</v>
      </c>
      <c r="C2423" t="str">
        <f>IFERROR(__xludf.DUMMYFUNCTION("GOOGLETRANSLATE(B2423, ""fr"", ""en"")"),"Good ergonomics I am very happy these headphones at first I was puzzled because he seemed a bit big but it remains perfectly in the ear is correct quality in sound and autonomy allowed me to a half-marathon.")</f>
        <v>Good ergonomics I am very happy these headphones at first I was puzzled because he seemed a bit big but it remains perfectly in the ear is correct quality in sound and autonomy allowed me to a half-marathon.</v>
      </c>
    </row>
    <row r="2424">
      <c r="A2424" s="1">
        <v>5.0</v>
      </c>
      <c r="B2424" s="1" t="s">
        <v>2409</v>
      </c>
      <c r="C2424" t="str">
        <f>IFERROR(__xludf.DUMMYFUNCTION("GOOGLETRANSLATE(B2424, ""fr"", ""en"")"),"The perfect shoes are very comfortable, aesthetically they are pretty and for driving them are very nice there is no discomfort.")</f>
        <v>The perfect shoes are very comfortable, aesthetically they are pretty and for driving them are very nice there is no discomfort.</v>
      </c>
    </row>
    <row r="2425">
      <c r="A2425" s="1">
        <v>5.0</v>
      </c>
      <c r="B2425" s="1" t="s">
        <v>2410</v>
      </c>
      <c r="C2425" t="str">
        <f>IFERROR(__xludf.DUMMYFUNCTION("GOOGLETRANSLATE(B2425, ""fr"", ""en"")"),"Not too small so convenient Meets description.")</f>
        <v>Not too small so convenient Meets description.</v>
      </c>
    </row>
    <row r="2426">
      <c r="A2426" s="1">
        <v>5.0</v>
      </c>
      <c r="B2426" s="1" t="s">
        <v>2411</v>
      </c>
      <c r="C2426" t="str">
        <f>IFERROR(__xludf.DUMMYFUNCTION("GOOGLETRANSLATE(B2426, ""fr"", ""en"")"),"Article corresponds exactly to my expectations. I got the product I wanted, the presentation was clear: good picture, good description, well supported prices. No, nothing wrong, very positive. And thank you for the accuracy of delivery.")</f>
        <v>Article corresponds exactly to my expectations. I got the product I wanted, the presentation was clear: good picture, good description, well supported prices. No, nothing wrong, very positive. And thank you for the accuracy of delivery.</v>
      </c>
    </row>
    <row r="2427">
      <c r="A2427" s="1">
        <v>5.0</v>
      </c>
      <c r="B2427" s="1" t="s">
        <v>2412</v>
      </c>
      <c r="C2427" t="str">
        <f>IFERROR(__xludf.DUMMYFUNCTION("GOOGLETRANSLATE(B2427, ""fr"", ""en"")"),"Dr Martens I love, just a little bit high but it does not matter !!!")</f>
        <v>Dr Martens I love, just a little bit high but it does not matter !!!</v>
      </c>
    </row>
    <row r="2428">
      <c r="A2428" s="1">
        <v>5.0</v>
      </c>
      <c r="B2428" s="1" t="s">
        <v>2413</v>
      </c>
      <c r="C2428" t="str">
        <f>IFERROR(__xludf.DUMMYFUNCTION("GOOGLETRANSLATE(B2428, ""fr"", ""en"")"),"Well I only use this brand for my baby")</f>
        <v>Well I only use this brand for my baby</v>
      </c>
    </row>
    <row r="2429">
      <c r="A2429" s="1">
        <v>5.0</v>
      </c>
      <c r="B2429" s="1" t="s">
        <v>2414</v>
      </c>
      <c r="C2429" t="str">
        <f>IFERROR(__xludf.DUMMYFUNCTION("GOOGLETRANSLATE(B2429, ""fr"", ""en"")"),"Perfect Perfect nothing to say")</f>
        <v>Perfect Perfect nothing to say</v>
      </c>
    </row>
    <row r="2430">
      <c r="A2430" s="1">
        <v>5.0</v>
      </c>
      <c r="B2430" s="1" t="s">
        <v>2415</v>
      </c>
      <c r="C2430" t="str">
        <f>IFERROR(__xludf.DUMMYFUNCTION("GOOGLETRANSLATE(B2430, ""fr"", ""en"")"),"Kimmes Great product painkiller. To offer")</f>
        <v>Kimmes Great product painkiller. To offer</v>
      </c>
    </row>
    <row r="2431">
      <c r="A2431" s="1">
        <v>5.0</v>
      </c>
      <c r="B2431" s="1" t="s">
        <v>2416</v>
      </c>
      <c r="C2431" t="str">
        <f>IFERROR(__xludf.DUMMYFUNCTION("GOOGLETRANSLATE(B2431, ""fr"", ""en"")"),"Sticker sticker good quality lots of choice shapes, patterns, colors, numbers, ideal for awakening children. If Decole easily and sticks very well.")</f>
        <v>Sticker sticker good quality lots of choice shapes, patterns, colors, numbers, ideal for awakening children. If Decole easily and sticks very well.</v>
      </c>
    </row>
    <row r="2432">
      <c r="A2432" s="1">
        <v>5.0</v>
      </c>
      <c r="B2432" s="1" t="s">
        <v>2417</v>
      </c>
      <c r="C2432" t="str">
        <f>IFERROR(__xludf.DUMMYFUNCTION("GOOGLETRANSLATE(B2432, ""fr"", ""en"")"),"Comfortable attractive, comfortable rather they would put with shoes. They are great because not too thin. I have spent several times the dryer without problems despite the fact that it is not recommended.")</f>
        <v>Comfortable attractive, comfortable rather they would put with shoes. They are great because not too thin. I have spent several times the dryer without problems despite the fact that it is not recommended.</v>
      </c>
    </row>
    <row r="2433">
      <c r="A2433" s="1">
        <v>5.0</v>
      </c>
      <c r="B2433" s="1" t="s">
        <v>2418</v>
      </c>
      <c r="C2433" t="str">
        <f>IFERROR(__xludf.DUMMYFUNCTION("GOOGLETRANSLATE(B2433, ""fr"", ""en"")"),"Top Perfect excellently feels good nothing to say really happy with my product and quick delivery what more and affordable surtt")</f>
        <v>Top Perfect excellently feels good nothing to say really happy with my product and quick delivery what more and affordable surtt</v>
      </c>
    </row>
    <row r="2434">
      <c r="A2434" s="1">
        <v>5.0</v>
      </c>
      <c r="B2434" s="1" t="s">
        <v>2419</v>
      </c>
      <c r="C2434" t="str">
        <f>IFERROR(__xludf.DUMMYFUNCTION("GOOGLETRANSLATE(B2434, ""fr"", ""en"")"),"Fine felts wipe clean with a damp cloth on non-porous surface (slate label).")</f>
        <v>Fine felts wipe clean with a damp cloth on non-porous surface (slate label).</v>
      </c>
    </row>
    <row r="2435">
      <c r="A2435" s="1">
        <v>2.0</v>
      </c>
      <c r="B2435" s="1" t="s">
        <v>2420</v>
      </c>
      <c r="C2435" t="str">
        <f>IFERROR(__xludf.DUMMYFUNCTION("GOOGLETRANSLATE(B2435, ""fr"", ""en"")"),"Not bad, but not brand redmi xiaomi Rather nice for the price, its good but not ideal microphone for calls and some links clippings By cons are not the half of xiaomi but the branded redmi")</f>
        <v>Not bad, but not brand redmi xiaomi Rather nice for the price, its good but not ideal microphone for calls and some links clippings By cons are not the half of xiaomi but the branded redmi</v>
      </c>
    </row>
    <row r="2436">
      <c r="A2436" s="1">
        <v>1.0</v>
      </c>
      <c r="B2436" s="1" t="s">
        <v>2421</v>
      </c>
      <c r="C2436" t="str">
        <f>IFERROR(__xludf.DUMMYFUNCTION("GOOGLETRANSLATE(B2436, ""fr"", ""en"")"),"Disappointed I expected better by reading the various comments ... not enough text for my taste, my son. 11 years, has read in 10 minutes ... considering the price - not negligible anyway - I expected better ...")</f>
        <v>Disappointed I expected better by reading the various comments ... not enough text for my taste, my son. 11 years, has read in 10 minutes ... considering the price - not negligible anyway - I expected better ...</v>
      </c>
    </row>
    <row r="2437">
      <c r="A2437" s="1">
        <v>1.0</v>
      </c>
      <c r="B2437" s="1" t="s">
        <v>2422</v>
      </c>
      <c r="C2437" t="str">
        <f>IFERROR(__xludf.DUMMYFUNCTION("GOOGLETRANSLATE(B2437, ""fr"", ""en"")"),"doesnt already / her far too strong after 2 months of use (normal, without falling) time no longer displayed and the alarm clock does not work anymore ... it's still a speaker that lights up at ... passage, the sound level of alarm was unbearable (a bless"&amp;"ing in disguise so!) last instructions unclear and unintuitive settings I recommend")</f>
        <v>doesnt already / her far too strong after 2 months of use (normal, without falling) time no longer displayed and the alarm clock does not work anymore ... it's still a speaker that lights up at ... passage, the sound level of alarm was unbearable (a blessing in disguise so!) last instructions unclear and unintuitive settings I recommend</v>
      </c>
    </row>
    <row r="2438">
      <c r="A2438" s="1">
        <v>3.0</v>
      </c>
      <c r="B2438" s="1" t="s">
        <v>2423</v>
      </c>
      <c r="C2438" t="str">
        <f>IFERROR(__xludf.DUMMYFUNCTION("GOOGLETRANSLATE(B2438, ""fr"", ""en"")"),"Although the descriptive announced. A combination while c is a whole. Maybe the translation! Nevertheless happy with this purchase ready to board an order")</f>
        <v>Although the descriptive announced. A combination while c is a whole. Maybe the translation! Nevertheless happy with this purchase ready to board an order</v>
      </c>
    </row>
    <row r="2439">
      <c r="A2439" s="1">
        <v>3.0</v>
      </c>
      <c r="B2439" s="1" t="s">
        <v>2424</v>
      </c>
      <c r="C2439" t="str">
        <f>IFERROR(__xludf.DUMMYFUNCTION("GOOGLETRANSLATE(B2439, ""fr"", ""en"")"),"the cable has held that evening and it was already broken. Micro cable of good quality but not really good.")</f>
        <v>the cable has held that evening and it was already broken. Micro cable of good quality but not really good.</v>
      </c>
    </row>
    <row r="2440">
      <c r="A2440" s="1">
        <v>4.0</v>
      </c>
      <c r="B2440" s="1" t="s">
        <v>2425</v>
      </c>
      <c r="C2440" t="str">
        <f>IFERROR(__xludf.DUMMYFUNCTION("GOOGLETRANSLATE(B2440, ""fr"", ""en"")"),"Done Ras job")</f>
        <v>Done Ras job</v>
      </c>
    </row>
    <row r="2441">
      <c r="A2441" s="1">
        <v>4.0</v>
      </c>
      <c r="B2441" s="1" t="s">
        <v>2426</v>
      </c>
      <c r="C2441" t="str">
        <f>IFERROR(__xludf.DUMMYFUNCTION("GOOGLETRANSLATE(B2441, ""fr"", ""en"")"),"Converse red color is beautiful, the shoe is therefore converse comfort, lightness and rest those converse. I recommend them.")</f>
        <v>Converse red color is beautiful, the shoe is therefore converse comfort, lightness and rest those converse. I recommend them.</v>
      </c>
    </row>
    <row r="2442">
      <c r="A2442" s="1">
        <v>4.0</v>
      </c>
      <c r="B2442" s="1" t="s">
        <v>2427</v>
      </c>
      <c r="C2442" t="str">
        <f>IFERROR(__xludf.DUMMYFUNCTION("GOOGLETRANSLATE(B2442, ""fr"", ""en"")"),"Very nice bracelet This is a Christmas present ... To see so later")</f>
        <v>Very nice bracelet This is a Christmas present ... To see so later</v>
      </c>
    </row>
    <row r="2443">
      <c r="A2443" s="1">
        <v>4.0</v>
      </c>
      <c r="B2443" s="1" t="s">
        <v>2428</v>
      </c>
      <c r="C2443" t="str">
        <f>IFERROR(__xludf.DUMMYFUNCTION("GOOGLETRANSLATE(B2443, ""fr"", ""en"")"),"Good product for the price no problem to do with time")</f>
        <v>Good product for the price no problem to do with time</v>
      </c>
    </row>
    <row r="2444">
      <c r="A2444" s="1">
        <v>5.0</v>
      </c>
      <c r="B2444" s="1" t="s">
        <v>2429</v>
      </c>
      <c r="C2444" t="str">
        <f>IFERROR(__xludf.DUMMYFUNCTION("GOOGLETRANSLATE(B2444, ""fr"", ""en"")"),"Perfect While hot, well cut. 1.73m size M, perfect! I recommend")</f>
        <v>Perfect While hot, well cut. 1.73m size M, perfect! I recommend</v>
      </c>
    </row>
    <row r="2445">
      <c r="A2445" s="1">
        <v>5.0</v>
      </c>
      <c r="B2445" s="1" t="s">
        <v>2430</v>
      </c>
      <c r="C2445" t="str">
        <f>IFERROR(__xludf.DUMMYFUNCTION("GOOGLETRANSLATE(B2445, ""fr"", ""en"")"),"Perfect and effective Satisfied")</f>
        <v>Perfect and effective Satisfied</v>
      </c>
    </row>
    <row r="2446">
      <c r="A2446" s="1">
        <v>5.0</v>
      </c>
      <c r="B2446" s="1" t="s">
        <v>2431</v>
      </c>
      <c r="C2446" t="str">
        <f>IFERROR(__xludf.DUMMYFUNCTION("GOOGLETRANSLATE(B2446, ""fr"", ""en"")"),"Very nice but very good. I had problems with the condenser microphone and sought an amplifier. Very easy to plug in, no problem of parasite. Only problem: the transformer heats, indicating that the product requires no electricity poorly.")</f>
        <v>Very nice but very good. I had problems with the condenser microphone and sought an amplifier. Very easy to plug in, no problem of parasite. Only problem: the transformer heats, indicating that the product requires no electricity poorly.</v>
      </c>
    </row>
    <row r="2447">
      <c r="A2447" s="1">
        <v>5.0</v>
      </c>
      <c r="B2447" s="1" t="s">
        <v>2432</v>
      </c>
      <c r="C2447" t="str">
        <f>IFERROR(__xludf.DUMMYFUNCTION("GOOGLETRANSLATE(B2447, ""fr"", ""en"")"),"good quality socks high quality socks and comfortable. Size it right, not very high. All this for a price more than correct.")</f>
        <v>good quality socks high quality socks and comfortable. Size it right, not very high. All this for a price more than correct.</v>
      </c>
    </row>
    <row r="2448">
      <c r="A2448" s="1">
        <v>5.0</v>
      </c>
      <c r="B2448" s="1" t="s">
        <v>2433</v>
      </c>
      <c r="C2448" t="str">
        <f>IFERROR(__xludf.DUMMYFUNCTION("GOOGLETRANSLATE(B2448, ""fr"", ""en"")"),"Good product used mainly for hot water at different temperatures Meets our expectation perfectly")</f>
        <v>Good product used mainly for hot water at different temperatures Meets our expectation perfectly</v>
      </c>
    </row>
    <row r="2449">
      <c r="A2449" s="1">
        <v>5.0</v>
      </c>
      <c r="B2449" s="1" t="s">
        <v>2434</v>
      </c>
      <c r="C2449" t="str">
        <f>IFERROR(__xludf.DUMMYFUNCTION("GOOGLETRANSLATE(B2449, ""fr"", ""en"")"),"Good sweat Received very quickly, consistent with the picture, quite thin sweater, size M should order hair cell")</f>
        <v>Good sweat Received very quickly, consistent with the picture, quite thin sweater, size M should order hair cell</v>
      </c>
    </row>
    <row r="2450">
      <c r="A2450" s="1">
        <v>5.0</v>
      </c>
      <c r="B2450" s="1" t="s">
        <v>2435</v>
      </c>
      <c r="C2450" t="str">
        <f>IFERROR(__xludf.DUMMYFUNCTION("GOOGLETRANSLATE(B2450, ""fr"", ""en"")"),"TB price quality T B")</f>
        <v>TB price quality T B</v>
      </c>
    </row>
    <row r="2451">
      <c r="A2451" s="1">
        <v>5.0</v>
      </c>
      <c r="B2451" s="1" t="s">
        <v>2436</v>
      </c>
      <c r="C2451" t="str">
        <f>IFERROR(__xludf.DUMMYFUNCTION("GOOGLETRANSLATE(B2451, ""fr"", ""en"")"),"Glad Very nice better than expected! I really like!")</f>
        <v>Glad Very nice better than expected! I really like!</v>
      </c>
    </row>
    <row r="2452">
      <c r="A2452" s="1">
        <v>5.0</v>
      </c>
      <c r="B2452" s="1" t="s">
        <v>2437</v>
      </c>
      <c r="C2452" t="str">
        <f>IFERROR(__xludf.DUMMYFUNCTION("GOOGLETRANSLATE(B2452, ""fr"", ""en"")"),"Sweat Dress burgundy Too nice and warm, to stay at home or for sorties.avec boots or sneakers, classy effect or cool effect. This is a dress hoodie that goes anywhere. I love her so much. The burgundy color is perfect. The size is just what I needed. I'm "&amp;"happy with my purchase.")</f>
        <v>Sweat Dress burgundy Too nice and warm, to stay at home or for sorties.avec boots or sneakers, classy effect or cool effect. This is a dress hoodie that goes anywhere. I love her so much. The burgundy color is perfect. The size is just what I needed. I'm happy with my purchase.</v>
      </c>
    </row>
    <row r="2453">
      <c r="A2453" s="1">
        <v>5.0</v>
      </c>
      <c r="B2453" s="1" t="s">
        <v>2438</v>
      </c>
      <c r="C2453" t="str">
        <f>IFERROR(__xludf.DUMMYFUNCTION("GOOGLETRANSLATE(B2453, ""fr"", ""en"")"),"Cf ff")</f>
        <v>Cf ff</v>
      </c>
    </row>
    <row r="2454">
      <c r="A2454" s="1">
        <v>5.0</v>
      </c>
      <c r="B2454" s="1" t="s">
        <v>2439</v>
      </c>
      <c r="C2454" t="str">
        <f>IFERROR(__xludf.DUMMYFUNCTION("GOOGLETRANSLATE(B2454, ""fr"", ""en"")"),"Orders received pretty ring with a little advance adjustable ring in silver, it is thin and very pretty. I recommend this ring")</f>
        <v>Orders received pretty ring with a little advance adjustable ring in silver, it is thin and very pretty. I recommend this ring</v>
      </c>
    </row>
    <row r="2455">
      <c r="A2455" s="1">
        <v>5.0</v>
      </c>
      <c r="B2455" s="1" t="s">
        <v>2440</v>
      </c>
      <c r="C2455" t="str">
        <f>IFERROR(__xludf.DUMMYFUNCTION("GOOGLETRANSLATE(B2455, ""fr"", ""en"")"),"Beautiful Nickel")</f>
        <v>Beautiful Nickel</v>
      </c>
    </row>
    <row r="2456">
      <c r="A2456" s="1">
        <v>5.0</v>
      </c>
      <c r="B2456" s="1" t="s">
        <v>2441</v>
      </c>
      <c r="C2456" t="str">
        <f>IFERROR(__xludf.DUMMYFUNCTION("GOOGLETRANSLATE(B2456, ""fr"", ""en"")"),"Seiko Watch SNG15K1 received in less than two weeks. No problem. Looks smaller in the photo. A flat, the band is a little cheap in terms of overall quality.")</f>
        <v>Seiko Watch SNG15K1 received in less than two weeks. No problem. Looks smaller in the photo. A flat, the band is a little cheap in terms of overall quality.</v>
      </c>
    </row>
    <row r="2457">
      <c r="A2457" s="1">
        <v>5.0</v>
      </c>
      <c r="B2457" s="1" t="s">
        <v>2442</v>
      </c>
      <c r="C2457" t="str">
        <f>IFERROR(__xludf.DUMMYFUNCTION("GOOGLETRANSLATE(B2457, ""fr"", ""en"")"),"Essential oils I tested my oils which have a very good smell. Each has its particularity: add a few drops into your massage oils on your tissues, in your shoes, your creams ... they give you well being, relaxation, anti-stress ... the bottles are busy, ve"&amp;"ry good money, économique.je recommends these essential oils")</f>
        <v>Essential oils I tested my oils which have a very good smell. Each has its particularity: add a few drops into your massage oils on your tissues, in your shoes, your creams ... they give you well being, relaxation, anti-stress ... the bottles are busy, very good money, économique.je recommends these essential oils</v>
      </c>
    </row>
    <row r="2458">
      <c r="A2458" s="1">
        <v>5.0</v>
      </c>
      <c r="B2458" s="1" t="s">
        <v>2443</v>
      </c>
      <c r="C2458" t="str">
        <f>IFERROR(__xludf.DUMMYFUNCTION("GOOGLETRANSLATE(B2458, ""fr"", ""en"")"),"Too pleasant This heating pad is very nice. Received just in time for a 3-day warm weekend ... I am delighted with my purchase and my husband also ensured battle. Very simple to use, plus it's washable. The security put it out alone is very significant if"&amp;" forgotten")</f>
        <v>Too pleasant This heating pad is very nice. Received just in time for a 3-day warm weekend ... I am delighted with my purchase and my husband also ensured battle. Very simple to use, plus it's washable. The security put it out alone is very significant if forgotten</v>
      </c>
    </row>
    <row r="2459">
      <c r="A2459" s="1">
        <v>2.0</v>
      </c>
      <c r="B2459" s="1" t="s">
        <v>2444</v>
      </c>
      <c r="C2459" t="str">
        <f>IFERROR(__xludf.DUMMYFUNCTION("GOOGLETRANSLATE(B2459, ""fr"", ""en"")"),"Certificate ? box ? I do not know if I'll keep, no certificate, a simple plastic bag, is it true? I am willing to trust Amazon, but I wonder if I will not go into jewelry")</f>
        <v>Certificate ? box ? I do not know if I'll keep, no certificate, a simple plastic bag, is it true? I am willing to trust Amazon, but I wonder if I will not go into jewelry</v>
      </c>
    </row>
    <row r="2460">
      <c r="A2460" s="1">
        <v>1.0</v>
      </c>
      <c r="B2460" s="1" t="s">
        <v>2445</v>
      </c>
      <c r="C2460" t="str">
        <f>IFERROR(__xludf.DUMMYFUNCTION("GOOGLETRANSLATE(B2460, ""fr"", ""en"")"),"Crocs fan of this brand, I bought into all the colors for the whole family. This is the first time I am disappointed that mark: left on the terrace this summer, they have narrowed significantly in not being able to put them! I explained that it was only t"&amp;"o shrink, the other pairs did not move. Inexplicable because of outdoor shoes")</f>
        <v>Crocs fan of this brand, I bought into all the colors for the whole family. This is the first time I am disappointed that mark: left on the terrace this summer, they have narrowed significantly in not being able to put them! I explained that it was only to shrink, the other pairs did not move. Inexplicable because of outdoor shoes</v>
      </c>
    </row>
    <row r="2461">
      <c r="A2461" s="1">
        <v>1.0</v>
      </c>
      <c r="B2461" s="1" t="s">
        <v>2446</v>
      </c>
      <c r="C2461" t="str">
        <f>IFERROR(__xludf.DUMMYFUNCTION("GOOGLETRANSLATE(B2461, ""fr"", ""en"")"),"Avoid Disappointment sewn upside down although the Chinese cheap but for the rest we will return")</f>
        <v>Avoid Disappointment sewn upside down although the Chinese cheap but for the rest we will return</v>
      </c>
    </row>
    <row r="2462">
      <c r="A2462" s="1">
        <v>3.0</v>
      </c>
      <c r="B2462" s="1" t="s">
        <v>2447</v>
      </c>
      <c r="C2462" t="str">
        <f>IFERROR(__xludf.DUMMYFUNCTION("GOOGLETRANSLATE(B2462, ""fr"", ""en"")"),"Too small The listing was not sufficiently detailed as to the size of the product. Pity. In other pockets are sufficiently functional.")</f>
        <v>Too small The listing was not sufficiently detailed as to the size of the product. Pity. In other pockets are sufficiently functional.</v>
      </c>
    </row>
    <row r="2463">
      <c r="A2463" s="1">
        <v>3.0</v>
      </c>
      <c r="B2463" s="1" t="s">
        <v>2448</v>
      </c>
      <c r="C2463" t="str">
        <f>IFERROR(__xludf.DUMMYFUNCTION("GOOGLETRANSLATE(B2463, ""fr"", ""en"")"),"top Very good book read also lecole")</f>
        <v>top Very good book read also lecole</v>
      </c>
    </row>
    <row r="2464">
      <c r="A2464" s="1">
        <v>4.0</v>
      </c>
      <c r="B2464" s="1" t="s">
        <v>2449</v>
      </c>
      <c r="C2464" t="str">
        <f>IFERROR(__xludf.DUMMYFUNCTION("GOOGLETRANSLATE(B2464, ""fr"", ""en"")"),"Very good considering the price Very nice, we just put with or without heat, by cons for the back if you want to lean against the massage can be a bit strong: with a towel between your back and the sail is better . Only downsides: when you put it in the b"&amp;"ack, the cable tends to disconnect easily. I recommend considering the price")</f>
        <v>Very good considering the price Very nice, we just put with or without heat, by cons for the back if you want to lean against the massage can be a bit strong: with a towel between your back and the sail is better . Only downsides: when you put it in the back, the cable tends to disconnect easily. I recommend considering the price</v>
      </c>
    </row>
    <row r="2465">
      <c r="A2465" s="1">
        <v>4.0</v>
      </c>
      <c r="B2465" s="1" t="s">
        <v>2450</v>
      </c>
      <c r="C2465" t="str">
        <f>IFERROR(__xludf.DUMMYFUNCTION("GOOGLETRANSLATE(B2465, ""fr"", ""en"")"),"Good product Very nice. Tien these promises")</f>
        <v>Good product Very nice. Tien these promises</v>
      </c>
    </row>
    <row r="2466">
      <c r="A2466" s="1">
        <v>4.0</v>
      </c>
      <c r="B2466" s="1" t="s">
        <v>2451</v>
      </c>
      <c r="C2466" t="str">
        <f>IFERROR(__xludf.DUMMYFUNCTION("GOOGLETRANSLATE(B2466, ""fr"", ""en"")"),"Very good balance price / performance Very good finishes, a nice look and a more than respectable in view of the price. Attention all the time, the remote control on the wire does not adjust the volume but just functions pause / play and take a call. I re"&amp;"commend for young and / or for use everyday (bus, train, subway ...). Audiophiles demanding passed your way;)")</f>
        <v>Very good balance price / performance Very good finishes, a nice look and a more than respectable in view of the price. Attention all the time, the remote control on the wire does not adjust the volume but just functions pause / play and take a call. I recommend for young and / or for use everyday (bus, train, subway ...). Audiophiles demanding passed your way;)</v>
      </c>
    </row>
    <row r="2467">
      <c r="A2467" s="1">
        <v>4.0</v>
      </c>
      <c r="B2467" s="1" t="s">
        <v>2452</v>
      </c>
      <c r="C2467" t="str">
        <f>IFERROR(__xludf.DUMMYFUNCTION("GOOGLETRANSLATE(B2467, ""fr"", ""en"")"),"Nickel Very good")</f>
        <v>Nickel Very good</v>
      </c>
    </row>
    <row r="2468">
      <c r="A2468" s="1">
        <v>5.0</v>
      </c>
      <c r="B2468" s="1" t="s">
        <v>2453</v>
      </c>
      <c r="C2468" t="str">
        <f>IFERROR(__xludf.DUMMYFUNCTION("GOOGLETRANSLATE(B2468, ""fr"", ""en"")"),"perfect Chic")</f>
        <v>perfect Chic</v>
      </c>
    </row>
    <row r="2469">
      <c r="A2469" s="1">
        <v>5.0</v>
      </c>
      <c r="B2469" s="1" t="s">
        <v>2454</v>
      </c>
      <c r="C2469" t="str">
        <f>IFERROR(__xludf.DUMMYFUNCTION("GOOGLETRANSLATE(B2469, ""fr"", ""en"")"),"Very easy to use It is not easy. To turn on the headset, simply remove the load box. Wait 5 sec as a bright rings quickly flashes to confirm that the headphones are paired. Open the Bluetooth smartphone and connect Hi-TWS device L. This connection will re"&amp;"cover with each new connection. It is also possible to connect a single earpiece. L or R. All this is very well explained in the manual in French. To turn it puts the headphones in the charging case, they will automatically turn off and starts charging. T"&amp;"he remaining capacity in the load box is indicated by 4 blue LEDs system. The charging case is solid, practical and compact. Faciler can be put in the pocket or attached to the belt. Unlike other models the headphones did not buttons but touch parts which"&amp;" avoids hurting the ears include pressing buttons. By using these touch parts on either ear, it is possible to adjust the volume, change the song, picking etc ... The headphones hold well in the ears during sport. You must use one of four games provided p"&amp;"ad to suit your morphomogie. The sound is not bad, the treble is clear and the stereo is perfect but compared to my Bluetooth headset (beucoup too large to be transported) I find this lack of bass. We can not have everything.")</f>
        <v>Very easy to use It is not easy. To turn on the headset, simply remove the load box. Wait 5 sec as a bright rings quickly flashes to confirm that the headphones are paired. Open the Bluetooth smartphone and connect Hi-TWS device L. This connection will recover with each new connection. It is also possible to connect a single earpiece. L or R. All this is very well explained in the manual in French. To turn it puts the headphones in the charging case, they will automatically turn off and starts charging. The remaining capacity in the load box is indicated by 4 blue LEDs system. The charging case is solid, practical and compact. Faciler can be put in the pocket or attached to the belt. Unlike other models the headphones did not buttons but touch parts which avoids hurting the ears include pressing buttons. By using these touch parts on either ear, it is possible to adjust the volume, change the song, picking etc ... The headphones hold well in the ears during sport. You must use one of four games provided pad to suit your morphomogie. The sound is not bad, the treble is clear and the stereo is perfect but compared to my Bluetooth headset (beucoup too large to be transported) I find this lack of bass. We can not have everything.</v>
      </c>
    </row>
    <row r="2470">
      <c r="A2470" s="1">
        <v>5.0</v>
      </c>
      <c r="B2470" s="1" t="s">
        <v>2455</v>
      </c>
      <c r="C2470" t="str">
        <f>IFERROR(__xludf.DUMMYFUNCTION("GOOGLETRANSLATE(B2470, ""fr"", ""en"")"),"Top ! Diffuser on top, works great and diffuse throughout the house with changing colors. Discreet and efficient")</f>
        <v>Top ! Diffuser on top, works great and diffuse throughout the house with changing colors. Discreet and efficient</v>
      </c>
    </row>
    <row r="2471">
      <c r="A2471" s="1">
        <v>5.0</v>
      </c>
      <c r="B2471" s="1" t="s">
        <v>2456</v>
      </c>
      <c r="C2471" t="str">
        <f>IFERROR(__xludf.DUMMYFUNCTION("GOOGLETRANSLATE(B2471, ""fr"", ""en"")"),"👍 Beautiful")</f>
        <v>👍 Beautiful</v>
      </c>
    </row>
    <row r="2472">
      <c r="A2472" s="1">
        <v>5.0</v>
      </c>
      <c r="B2472" s="1" t="s">
        <v>2457</v>
      </c>
      <c r="C2472" t="str">
        <f>IFERROR(__xludf.DUMMYFUNCTION("GOOGLETRANSLATE(B2472, ""fr"", ""en"")"),"Ok Ok")</f>
        <v>Ok Ok</v>
      </c>
    </row>
    <row r="2473">
      <c r="A2473" s="1">
        <v>5.0</v>
      </c>
      <c r="B2473" s="1" t="s">
        <v>2458</v>
      </c>
      <c r="C2473" t="str">
        <f>IFERROR(__xludf.DUMMYFUNCTION("GOOGLETRANSLATE(B2473, ""fr"", ""en"")"),"awesome awesome")</f>
        <v>awesome awesome</v>
      </c>
    </row>
    <row r="2474">
      <c r="A2474" s="1">
        <v>5.0</v>
      </c>
      <c r="B2474" s="1" t="s">
        <v>2459</v>
      </c>
      <c r="C2474" t="str">
        <f>IFERROR(__xludf.DUMMYFUNCTION("GOOGLETRANSLATE(B2474, ""fr"", ""en"")"),"Product satifaisant I wanted to try the experience of wireless and it's done! Good battery life, and sound good the product is satisfactory I recommend!")</f>
        <v>Product satifaisant I wanted to try the experience of wireless and it's done! Good battery life, and sound good the product is satisfactory I recommend!</v>
      </c>
    </row>
    <row r="2475">
      <c r="A2475" s="1">
        <v>5.0</v>
      </c>
      <c r="B2475" s="1" t="s">
        <v>2460</v>
      </c>
      <c r="C2475" t="str">
        <f>IFERROR(__xludf.DUMMYFUNCTION("GOOGLETRANSLATE(B2475, ""fr"", ""en"")"),"Very good quality. Really pleased with this purchase. The articles are very good qualities and maintained perfectly. I am very satisfied.")</f>
        <v>Very good quality. Really pleased with this purchase. The articles are very good qualities and maintained perfectly. I am very satisfied.</v>
      </c>
    </row>
    <row r="2476">
      <c r="A2476" s="1">
        <v>5.0</v>
      </c>
      <c r="B2476" s="1" t="s">
        <v>2461</v>
      </c>
      <c r="C2476" t="str">
        <f>IFERROR(__xludf.DUMMYFUNCTION("GOOGLETRANSLATE(B2476, ""fr"", ""en"")"),"Okay Aircraft are very well made. Good finishes. My son happens to fly them up to 15 seconds after the Max")</f>
        <v>Okay Aircraft are very well made. Good finishes. My son happens to fly them up to 15 seconds after the Max</v>
      </c>
    </row>
    <row r="2477">
      <c r="A2477" s="1">
        <v>5.0</v>
      </c>
      <c r="B2477" s="1" t="s">
        <v>2462</v>
      </c>
      <c r="C2477" t="str">
        <f>IFERROR(__xludf.DUMMYFUNCTION("GOOGLETRANSLATE(B2477, ""fr"", ""en"")"),"perfect great product. delivery and monitoring on top")</f>
        <v>perfect great product. delivery and monitoring on top</v>
      </c>
    </row>
    <row r="2478">
      <c r="A2478" s="1">
        <v>5.0</v>
      </c>
      <c r="B2478" s="1" t="s">
        <v>2463</v>
      </c>
      <c r="C2478" t="str">
        <f>IFERROR(__xludf.DUMMYFUNCTION("GOOGLETRANSLATE(B2478, ""fr"", ""en"")"),"Top I recommend Very elegant. magnificent top")</f>
        <v>Top I recommend Very elegant. magnificent top</v>
      </c>
    </row>
    <row r="2479">
      <c r="A2479" s="1">
        <v>5.0</v>
      </c>
      <c r="B2479" s="1" t="s">
        <v>2464</v>
      </c>
      <c r="C2479" t="str">
        <f>IFERROR(__xludf.DUMMYFUNCTION("GOOGLETRANSLATE(B2479, ""fr"", ""en"")"),"Headphones very good. I highly recommend these Bluetooth headphones. Their autonomy is very high, they largely reflect the day. His side they are very clean to listen to music, watch movies or videos. They cling well to the ears.")</f>
        <v>Headphones very good. I highly recommend these Bluetooth headphones. Their autonomy is very high, they largely reflect the day. His side they are very clean to listen to music, watch movies or videos. They cling well to the ears.</v>
      </c>
    </row>
    <row r="2480">
      <c r="A2480" s="1">
        <v>5.0</v>
      </c>
      <c r="B2480" s="1" t="s">
        <v>2465</v>
      </c>
      <c r="C2480" t="str">
        <f>IFERROR(__xludf.DUMMYFUNCTION("GOOGLETRANSLATE(B2480, ""fr"", ""en"")"),"More than perfect A nice quality (thick enough to not be transparent once donned) a soft and warm inside ... more than satisfied with the quality ... The deep side pocket lets slip a smartphone for a sport to music !!!!")</f>
        <v>More than perfect A nice quality (thick enough to not be transparent once donned) a soft and warm inside ... more than satisfied with the quality ... The deep side pocket lets slip a smartphone for a sport to music !!!!</v>
      </c>
    </row>
    <row r="2481">
      <c r="A2481" s="1">
        <v>5.0</v>
      </c>
      <c r="B2481" s="1" t="s">
        <v>2466</v>
      </c>
      <c r="C2481" t="str">
        <f>IFERROR(__xludf.DUMMYFUNCTION("GOOGLETRANSLATE(B2481, ""fr"", ""en"")"),"Beautiful jewelry for a reasonable price! Pendant unassuming yet full of color. This product is totally gorgeous very good value I highly recommend my friend was very happy to have him.")</f>
        <v>Beautiful jewelry for a reasonable price! Pendant unassuming yet full of color. This product is totally gorgeous very good value I highly recommend my friend was very happy to have him.</v>
      </c>
    </row>
    <row r="2482">
      <c r="A2482" s="1">
        <v>5.0</v>
      </c>
      <c r="B2482" s="1" t="s">
        <v>2467</v>
      </c>
      <c r="C2482" t="str">
        <f>IFERROR(__xludf.DUMMYFUNCTION("GOOGLETRANSLATE(B2482, ""fr"", ""en"")"),"super good product I recommend")</f>
        <v>super good product I recommend</v>
      </c>
    </row>
    <row r="2483">
      <c r="A2483" s="1">
        <v>2.0</v>
      </c>
      <c r="B2483" s="1" t="s">
        <v>2468</v>
      </c>
      <c r="C2483" t="str">
        <f>IFERROR(__xludf.DUMMYFUNCTION("GOOGLETRANSLATE(B2483, ""fr"", ""en"")"),"Do not do it I did not used to use mouse pad with wrist rest. However, I find this one frankly impractical. 1) As mentioned in another review, it is not flat, it was / is deformed, the edges back. 2) The wrist rest is too thick, not to break the wrist mus"&amp;"t slightly raise the front arms permanently, it is very unpleasant. Afterwards, as I said, I'm not used to the mouse pad with wrist rest. 3) Too small, having the wrist on the wrist rest, mouse exceeds the front of the mat. On the other hand, anti slip ho"&amp;"lds well and the tissue covering the carpet is not unpleasant.")</f>
        <v>Do not do it I did not used to use mouse pad with wrist rest. However, I find this one frankly impractical. 1) As mentioned in another review, it is not flat, it was / is deformed, the edges back. 2) The wrist rest is too thick, not to break the wrist must slightly raise the front arms permanently, it is very unpleasant. Afterwards, as I said, I'm not used to the mouse pad with wrist rest. 3) Too small, having the wrist on the wrist rest, mouse exceeds the front of the mat. On the other hand, anti slip holds well and the tissue covering the carpet is not unpleasant.</v>
      </c>
    </row>
    <row r="2484">
      <c r="A2484" s="1">
        <v>1.0</v>
      </c>
      <c r="B2484" s="1" t="s">
        <v>2469</v>
      </c>
      <c r="C2484" t="str">
        <f>IFERROR(__xludf.DUMMYFUNCTION("GOOGLETRANSLATE(B2484, ""fr"", ""en"")"),"Quality more than mediocre After a few weeks, the sole began to take off and today, as I did not have to wear them more than 20 times in total without much walking, the sole is completely detached at the front the right foot, so that I toes in the air! Mo"&amp;"reover, heel reinforcement part by piece, I find in the shoe regularly. I never bought Converse and I'm not ready to start! Even at 45 € there are much better shoes.")</f>
        <v>Quality more than mediocre After a few weeks, the sole began to take off and today, as I did not have to wear them more than 20 times in total without much walking, the sole is completely detached at the front the right foot, so that I toes in the air! Moreover, heel reinforcement part by piece, I find in the shoe regularly. I never bought Converse and I'm not ready to start! Even at 45 € there are much better shoes.</v>
      </c>
    </row>
    <row r="2485">
      <c r="A2485" s="1">
        <v>1.0</v>
      </c>
      <c r="B2485" s="1" t="s">
        <v>2470</v>
      </c>
      <c r="C2485" t="str">
        <f>IFERROR(__xludf.DUMMYFUNCTION("GOOGLETRANSLATE(B2485, ""fr"", ""en"")"),"No Frankly I received the article that not correspond at all to the image and the size does not fit. I find ugly.")</f>
        <v>No Frankly I received the article that not correspond at all to the image and the size does not fit. I find ugly.</v>
      </c>
    </row>
    <row r="2486">
      <c r="A2486" s="1">
        <v>3.0</v>
      </c>
      <c r="B2486" s="1" t="s">
        <v>2471</v>
      </c>
      <c r="C2486" t="str">
        <f>IFERROR(__xludf.DUMMYFUNCTION("GOOGLETRANSLATE(B2486, ""fr"", ""en"")"),"Good but ... Would be more convenient with more thickness by color in visible clothing")</f>
        <v>Good but ... Would be more convenient with more thickness by color in visible clothing</v>
      </c>
    </row>
    <row r="2487">
      <c r="A2487" s="1">
        <v>4.0</v>
      </c>
      <c r="B2487" s="1" t="s">
        <v>2472</v>
      </c>
      <c r="C2487" t="str">
        <f>IFERROR(__xludf.DUMMYFUNCTION("GOOGLETRANSLATE(B2487, ""fr"", ""en"")"),"Happiness Bought to replace an old Philips light alarm clock that had convinced me there 10 years, I am very satisfied of this device is going to wake up gently. In terms of regrets, I épinglerais - buttons, discrete but identifiable little in the dark. I"&amp;" had to identify with embossed stickers - unable to set the alarm for certain days of the week. - the time display that does not vary depending on the ambient light, which makes it too loud at night, or unreadable during the day.")</f>
        <v>Happiness Bought to replace an old Philips light alarm clock that had convinced me there 10 years, I am very satisfied of this device is going to wake up gently. In terms of regrets, I épinglerais - buttons, discrete but identifiable little in the dark. I had to identify with embossed stickers - unable to set the alarm for certain days of the week. - the time display that does not vary depending on the ambient light, which makes it too loud at night, or unreadable during the day.</v>
      </c>
    </row>
    <row r="2488">
      <c r="A2488" s="1">
        <v>4.0</v>
      </c>
      <c r="B2488" s="1" t="s">
        <v>2473</v>
      </c>
      <c r="C2488" t="str">
        <f>IFERROR(__xludf.DUMMYFUNCTION("GOOGLETRANSLATE(B2488, ""fr"", ""en"")"),"To check and test the following a little narrow for milk thickened milk my son is perfect but when will board on the classic milk")</f>
        <v>To check and test the following a little narrow for milk thickened milk my son is perfect but when will board on the classic milk</v>
      </c>
    </row>
    <row r="2489">
      <c r="A2489" s="1">
        <v>4.0</v>
      </c>
      <c r="B2489" s="1" t="s">
        <v>2474</v>
      </c>
      <c r="C2489" t="str">
        <f>IFERROR(__xludf.DUMMYFUNCTION("GOOGLETRANSLATE(B2489, ""fr"", ""en"")"),"good product I love DOC then yes I am satisfied !!! It should be more like the one produced in the year ended !!!!!")</f>
        <v>good product I love DOC then yes I am satisfied !!! It should be more like the one produced in the year ended !!!!!</v>
      </c>
    </row>
    <row r="2490">
      <c r="A2490" s="1">
        <v>4.0</v>
      </c>
      <c r="B2490" s="1" t="s">
        <v>2475</v>
      </c>
      <c r="C2490" t="str">
        <f>IFERROR(__xludf.DUMMYFUNCTION("GOOGLETRANSLATE(B2490, ""fr"", ""en"")"),"Lovely Pretty Product size but slightly smaller still. I will do with.")</f>
        <v>Lovely Pretty Product size but slightly smaller still. I will do with.</v>
      </c>
    </row>
    <row r="2491">
      <c r="A2491" s="1">
        <v>5.0</v>
      </c>
      <c r="B2491" s="1" t="s">
        <v>2476</v>
      </c>
      <c r="C2491" t="str">
        <f>IFERROR(__xludf.DUMMYFUNCTION("GOOGLETRANSLATE(B2491, ""fr"", ""en"")"),"Very satisfied with my purchase beautiful watch and really cheap. It took about 3 weeks to receive cons but it does not matter.")</f>
        <v>Very satisfied with my purchase beautiful watch and really cheap. It took about 3 weeks to receive cons but it does not matter.</v>
      </c>
    </row>
    <row r="2492">
      <c r="A2492" s="1">
        <v>5.0</v>
      </c>
      <c r="B2492" s="1" t="s">
        <v>2477</v>
      </c>
      <c r="C2492" t="str">
        <f>IFERROR(__xludf.DUMMYFUNCTION("GOOGLETRANSLATE(B2492, ""fr"", ""en"")"),"Boots boaters. A myth, a legend. They have made the world in solidarity towers or crew. Present on all pontoons of the world, of the Trinity in Dinard, they end at the coffee board to redo the edges, a carelessly discarded sweater over the shoulders. The "&amp;"shoe box flower good spray and seaweed and takes you on a walk from fishing, hunting for weeders. Nothing to do with vulgar green boots with large spikes, no, here it is the aristocracy of the boot or is in the hushed, quiet, between people of good educat"&amp;"ions without screams or gun noises.")</f>
        <v>Boots boaters. A myth, a legend. They have made the world in solidarity towers or crew. Present on all pontoons of the world, of the Trinity in Dinard, they end at the coffee board to redo the edges, a carelessly discarded sweater over the shoulders. The shoe box flower good spray and seaweed and takes you on a walk from fishing, hunting for weeders. Nothing to do with vulgar green boots with large spikes, no, here it is the aristocracy of the boot or is in the hushed, quiet, between people of good educations without screams or gun noises.</v>
      </c>
    </row>
    <row r="2493">
      <c r="A2493" s="1">
        <v>5.0</v>
      </c>
      <c r="B2493" s="1" t="s">
        <v>2478</v>
      </c>
      <c r="C2493" t="str">
        <f>IFERROR(__xludf.DUMMYFUNCTION("GOOGLETRANSLATE(B2493, ""fr"", ""en"")"),"Almost perfect! Sensitive, compact, economical, well-equipped home ... surely a better choice if not the best for a DSLR, bridge or camcorder with a microphone input mini-jack 3.5 mm. Food compulsory plug-in-power, so be careful to ensure that your equipm"&amp;"ent before the supplies. Be careful to flatten the hairs against the windscreen to suspension yoke (Rycote S.V.P.), she is captive but if we do not take this precaution, it may not cover the side vents of the microphone head. The suspension has a thread p"&amp;"itch of 3/8 ""which allows use on all poles, but with some limitations because no joint.")</f>
        <v>Almost perfect! Sensitive, compact, economical, well-equipped home ... surely a better choice if not the best for a DSLR, bridge or camcorder with a microphone input mini-jack 3.5 mm. Food compulsory plug-in-power, so be careful to ensure that your equipment before the supplies. Be careful to flatten the hairs against the windscreen to suspension yoke (Rycote S.V.P.), she is captive but if we do not take this precaution, it may not cover the side vents of the microphone head. The suspension has a thread pitch of 3/8 "which allows use on all poles, but with some limitations because no joint.</v>
      </c>
    </row>
    <row r="2494">
      <c r="A2494" s="1">
        <v>5.0</v>
      </c>
      <c r="B2494" s="1" t="s">
        <v>2479</v>
      </c>
      <c r="C2494" t="str">
        <f>IFERROR(__xludf.DUMMYFUNCTION("GOOGLETRANSLATE(B2494, ""fr"", ""en"")"),"perfect watch for my taste After two years of use, this watch also looks new as the day. Aesthetics remarkable quality of blameless materials. (A wish of improvement, the daily dater takes account of 30 months and 31 days)")</f>
        <v>perfect watch for my taste After two years of use, this watch also looks new as the day. Aesthetics remarkable quality of blameless materials. (A wish of improvement, the daily dater takes account of 30 months and 31 days)</v>
      </c>
    </row>
    <row r="2495">
      <c r="A2495" s="1">
        <v>5.0</v>
      </c>
      <c r="B2495" s="1" t="s">
        <v>2480</v>
      </c>
      <c r="C2495" t="str">
        <f>IFERROR(__xludf.DUMMYFUNCTION("GOOGLETRANSLATE(B2495, ""fr"", ""en"")"),"Top Model more suitable than my old g shock Awg M100B 1AER. It has better visibility. Also the lighting is well above. This watch is widely abused comparable with g steel for much less expensive.")</f>
        <v>Top Model more suitable than my old g shock Awg M100B 1AER. It has better visibility. Also the lighting is well above. This watch is widely abused comparable with g steel for much less expensive.</v>
      </c>
    </row>
    <row r="2496">
      <c r="A2496" s="1">
        <v>5.0</v>
      </c>
      <c r="B2496" s="1" t="s">
        <v>2481</v>
      </c>
      <c r="C2496" t="str">
        <f>IFERROR(__xludf.DUMMYFUNCTION("GOOGLETRANSLATE(B2496, ""fr"", ""en"")"),"Comfort and convenience Perfect Size!")</f>
        <v>Comfort and convenience Perfect Size!</v>
      </c>
    </row>
    <row r="2497">
      <c r="A2497" s="1">
        <v>5.0</v>
      </c>
      <c r="B2497" s="1" t="s">
        <v>2482</v>
      </c>
      <c r="C2497" t="str">
        <f>IFERROR(__xludf.DUMMYFUNCTION("GOOGLETRANSLATE(B2497, ""fr"", ""en"")"),"Great for the Tascam DR-05 I hesitated between the expected version for the Tascam DR-05, but reading the comments on the difficulty to put on, I preferred to take the larger size. Goes very well with a Tascam DR-05, no difficulty putting yours and relati"&amp;"vely well.")</f>
        <v>Great for the Tascam DR-05 I hesitated between the expected version for the Tascam DR-05, but reading the comments on the difficulty to put on, I preferred to take the larger size. Goes very well with a Tascam DR-05, no difficulty putting yours and relatively well.</v>
      </c>
    </row>
    <row r="2498">
      <c r="A2498" s="1">
        <v>5.0</v>
      </c>
      <c r="B2498" s="1" t="s">
        <v>2483</v>
      </c>
      <c r="C2498" t="str">
        <f>IFERROR(__xludf.DUMMYFUNCTION("GOOGLETRANSLATE(B2498, ""fr"", ""en"")"),"Super oil I bought bottles of this oil during pregnancy !! I started putting myself from the 2nd month, paranoid stretch marks I was ... Even if a priori no oil can prevent a priori to have in some women, I think it helps much to soften the skin and there"&amp;"fore it can only do good. At least for me, I did not have a single stretch mark. I keep putting myself sometimes because I find it very enjoyable.")</f>
        <v>Super oil I bought bottles of this oil during pregnancy !! I started putting myself from the 2nd month, paranoid stretch marks I was ... Even if a priori no oil can prevent a priori to have in some women, I think it helps much to soften the skin and therefore it can only do good. At least for me, I did not have a single stretch mark. I keep putting myself sometimes because I find it very enjoyable.</v>
      </c>
    </row>
    <row r="2499">
      <c r="A2499" s="1">
        <v>5.0</v>
      </c>
      <c r="B2499" s="1" t="s">
        <v>2484</v>
      </c>
      <c r="C2499" t="str">
        <f>IFERROR(__xludf.DUMMYFUNCTION("GOOGLETRANSLATE(B2499, ""fr"", ""en"")"),"Superb quality food This film is the ultimate quality: the film that attaches to the container cover and remaining paste !! When using cling film restoration, we see pretty much the difference with those sold in supermarkets and even the best known brands"&amp;". I found here a real quality of food film that sticks very well to dishes and other and that's what I was looking for my home. The zip strip is advantageous, cutting is very fast and it goes without getting upset over. And you have for some time! The fir"&amp;"st roller made from October 2014 to September 2016, 2nd September 2016 to November 2018! We are therefore currently the 3rd and I would not change no brand.")</f>
        <v>Superb quality food This film is the ultimate quality: the film that attaches to the container cover and remaining paste !! When using cling film restoration, we see pretty much the difference with those sold in supermarkets and even the best known brands. I found here a real quality of food film that sticks very well to dishes and other and that's what I was looking for my home. The zip strip is advantageous, cutting is very fast and it goes without getting upset over. And you have for some time! The first roller made from October 2014 to September 2016, 2nd September 2016 to November 2018! We are therefore currently the 3rd and I would not change no brand.</v>
      </c>
    </row>
    <row r="2500">
      <c r="A2500" s="1">
        <v>5.0</v>
      </c>
      <c r="B2500" s="1" t="s">
        <v>2485</v>
      </c>
      <c r="C2500" t="str">
        <f>IFERROR(__xludf.DUMMYFUNCTION("GOOGLETRANSLATE(B2500, ""fr"", ""en"")"),"Watch Very well received")</f>
        <v>Watch Very well received</v>
      </c>
    </row>
    <row r="2501">
      <c r="A2501" s="1">
        <v>5.0</v>
      </c>
      <c r="B2501" s="1" t="s">
        <v>2486</v>
      </c>
      <c r="C2501" t="str">
        <f>IFERROR(__xludf.DUMMYFUNCTION("GOOGLETRANSLATE(B2501, ""fr"", ""en"")"),"COMPLIANT RAS")</f>
        <v>COMPLIANT RAS</v>
      </c>
    </row>
    <row r="2502">
      <c r="A2502" s="1">
        <v>5.0</v>
      </c>
      <c r="B2502" s="1" t="s">
        <v>2487</v>
      </c>
      <c r="C2502" t="str">
        <f>IFERROR(__xludf.DUMMYFUNCTION("GOOGLETRANSLATE(B2502, ""fr"", ""en"")"),"Casio digital watches reference sound simple and precise Watch")</f>
        <v>Casio digital watches reference sound simple and precise Watch</v>
      </c>
    </row>
    <row r="2503">
      <c r="A2503" s="1">
        <v>5.0</v>
      </c>
      <c r="B2503" s="1" t="s">
        <v>2488</v>
      </c>
      <c r="C2503" t="str">
        <f>IFERROR(__xludf.DUMMYFUNCTION("GOOGLETRANSLATE(B2503, ""fr"", ""en"")"),"Belke For a wedding")</f>
        <v>Belke For a wedding</v>
      </c>
    </row>
    <row r="2504">
      <c r="A2504" s="1">
        <v>5.0</v>
      </c>
      <c r="B2504" s="1" t="s">
        <v>2489</v>
      </c>
      <c r="C2504" t="str">
        <f>IFERROR(__xludf.DUMMYFUNCTION("GOOGLETRANSLATE(B2504, ""fr"", ""en"")"),"Very nice bracelet Ladies Bracelet beautiful in a very elegant finesse for the price I highly recommend .... To book especially for women because relatively fine level diameter a little small for people a little strong, I could never have wear it if it we"&amp;"re for me")</f>
        <v>Very nice bracelet Ladies Bracelet beautiful in a very elegant finesse for the price I highly recommend .... To book especially for women because relatively fine level diameter a little small for people a little strong, I could never have wear it if it were for me</v>
      </c>
    </row>
    <row r="2505">
      <c r="A2505" s="1">
        <v>5.0</v>
      </c>
      <c r="B2505" s="1" t="s">
        <v>2490</v>
      </c>
      <c r="C2505" t="str">
        <f>IFERROR(__xludf.DUMMYFUNCTION("GOOGLETRANSLATE(B2505, ""fr"", ""en"")"),"beautiful aesthetic and efficient kettle I needed a pretty kettle for my tea. Its capacity of 1.8 L is ideal for serving several people at once. She's beautiful design, efficient and fast. It heated between 40 and 100 ° C .The temperature control is visib"&amp;"le on a LCD screen. She has a Keep Warm option glass with a nice blue LED light. Quality item, plus she is silent. I hope it will serve me long to see in time.")</f>
        <v>beautiful aesthetic and efficient kettle I needed a pretty kettle for my tea. Its capacity of 1.8 L is ideal for serving several people at once. She's beautiful design, efficient and fast. It heated between 40 and 100 ° C .The temperature control is visible on a LCD screen. She has a Keep Warm option glass with a nice blue LED light. Quality item, plus she is silent. I hope it will serve me long to see in time.</v>
      </c>
    </row>
    <row r="2506">
      <c r="A2506" s="1">
        <v>2.0</v>
      </c>
      <c r="B2506" s="1" t="s">
        <v>2491</v>
      </c>
      <c r="C2506" t="str">
        <f>IFERROR(__xludf.DUMMYFUNCTION("GOOGLETRANSLATE(B2506, ""fr"", ""en"")"),"No poor quality paper compared to those I have the habit of using it. Either I barely to turn off and it's constantly or it burns all of a sudden and no odor product")</f>
        <v>No poor quality paper compared to those I have the habit of using it. Either I barely to turn off and it's constantly or it burns all of a sudden and no odor product</v>
      </c>
    </row>
    <row r="2507">
      <c r="A2507" s="1">
        <v>1.0</v>
      </c>
      <c r="B2507" s="1" t="s">
        <v>2492</v>
      </c>
      <c r="C2507" t="str">
        <f>IFERROR(__xludf.DUMMYFUNCTION("GOOGLETRANSLATE(B2507, ""fr"", ""en"")"),"defective item My computer tells me that the cartridge is installed and as soon as I launch a print begins to print and half of the sheet, the printing stops and starts ""Remove and reinstall the specified cartridge, you ensuring it is fully installed. """&amp;" I repeated the unsuccessful operation. So, I bought another and now it works. So disappointed to have lost money and lay a new cartridge. Do you know if it is possible to make the refund through Amazon or HP? cordially")</f>
        <v>defective item My computer tells me that the cartridge is installed and as soon as I launch a print begins to print and half of the sheet, the printing stops and starts "Remove and reinstall the specified cartridge, you ensuring it is fully installed. " I repeated the unsuccessful operation. So, I bought another and now it works. So disappointed to have lost money and lay a new cartridge. Do you know if it is possible to make the refund through Amazon or HP? cordially</v>
      </c>
    </row>
    <row r="2508">
      <c r="A2508" s="1">
        <v>3.0</v>
      </c>
      <c r="B2508" s="1" t="s">
        <v>2493</v>
      </c>
      <c r="C2508" t="str">
        <f>IFERROR(__xludf.DUMMYFUNCTION("GOOGLETRANSLATE(B2508, ""fr"", ""en"")"),"Bags I have recommended they are solid closing fasteners also perfect for my trash kitchen trash bags good I recommend")</f>
        <v>Bags I have recommended they are solid closing fasteners also perfect for my trash kitchen trash bags good I recommend</v>
      </c>
    </row>
    <row r="2509">
      <c r="A2509" s="1">
        <v>3.0</v>
      </c>
      <c r="B2509" s="1" t="s">
        <v>2494</v>
      </c>
      <c r="C2509" t="str">
        <f>IFERROR(__xludf.DUMMYFUNCTION("GOOGLETRANSLATE(B2509, ""fr"", ""en"")"),"Too big and no exchange Basketball is too much impossible exchange. So I have never put myself. Otherwise beautiful appearance.")</f>
        <v>Too big and no exchange Basketball is too much impossible exchange. So I have never put myself. Otherwise beautiful appearance.</v>
      </c>
    </row>
    <row r="2510">
      <c r="A2510" s="1">
        <v>4.0</v>
      </c>
      <c r="B2510" s="1" t="s">
        <v>2495</v>
      </c>
      <c r="C2510" t="str">
        <f>IFERROR(__xludf.DUMMYFUNCTION("GOOGLETRANSLATE(B2510, ""fr"", ""en"")"),"NOT BAD AT ALL Ordered apprehensively, but satisfaction on arrival: this bag is not bad at all. Big enough as I wanted, beautiful, stands well ... The main compartment closes with a zipper, two side with a magnetic snap. I take off a star for the inner li"&amp;"ning rather cheap, which makes a sound of rustling paper, but it is not seen and overall I'm pretty happy")</f>
        <v>NOT BAD AT ALL Ordered apprehensively, but satisfaction on arrival: this bag is not bad at all. Big enough as I wanted, beautiful, stands well ... The main compartment closes with a zipper, two side with a magnetic snap. I take off a star for the inner lining rather cheap, which makes a sound of rustling paper, but it is not seen and overall I'm pretty happy</v>
      </c>
    </row>
    <row r="2511">
      <c r="A2511" s="1">
        <v>4.0</v>
      </c>
      <c r="B2511" s="1" t="s">
        <v>2496</v>
      </c>
      <c r="C2511" t="str">
        <f>IFERROR(__xludf.DUMMYFUNCTION("GOOGLETRANSLATE(B2511, ""fr"", ""en"")"),"Trusted seller and very accessible smaller size than the table but trade agreement with the seller.")</f>
        <v>Trusted seller and very accessible smaller size than the table but trade agreement with the seller.</v>
      </c>
    </row>
    <row r="2512">
      <c r="A2512" s="1">
        <v>4.0</v>
      </c>
      <c r="B2512" s="1" t="s">
        <v>2497</v>
      </c>
      <c r="C2512" t="str">
        <f>IFERROR(__xludf.DUMMYFUNCTION("GOOGLETRANSLATE(B2512, ""fr"", ""en"")"),"The natural is essential Beautiful skin firmer after clay")</f>
        <v>The natural is essential Beautiful skin firmer after clay</v>
      </c>
    </row>
    <row r="2513">
      <c r="A2513" s="1">
        <v>4.0</v>
      </c>
      <c r="B2513" s="1" t="s">
        <v>2498</v>
      </c>
      <c r="C2513" t="str">
        <f>IFERROR(__xludf.DUMMYFUNCTION("GOOGLETRANSLATE(B2513, ""fr"", ""en"")"),"Perfect Super optimal markers for fun family achievements. Game very playful and perfectly suited to the youth. Super activity")</f>
        <v>Perfect Super optimal markers for fun family achievements. Game very playful and perfectly suited to the youth. Super activity</v>
      </c>
    </row>
    <row r="2514">
      <c r="A2514" s="1">
        <v>5.0</v>
      </c>
      <c r="B2514" s="1" t="s">
        <v>2499</v>
      </c>
      <c r="C2514" t="str">
        <f>IFERROR(__xludf.DUMMYFUNCTION("GOOGLETRANSLATE(B2514, ""fr"", ""en"")"),"Microphone use for 1 year working perfectly")</f>
        <v>Microphone use for 1 year working perfectly</v>
      </c>
    </row>
    <row r="2515">
      <c r="A2515" s="1">
        <v>5.0</v>
      </c>
      <c r="B2515" s="1" t="s">
        <v>2500</v>
      </c>
      <c r="C2515" t="str">
        <f>IFERROR(__xludf.DUMMYFUNCTION("GOOGLETRANSLATE(B2515, ""fr"", ""en"")"),"Consistently good This is my third pair - Heavy use average duration 6 years - comfort - Goretex and Vibram knee")</f>
        <v>Consistently good This is my third pair - Heavy use average duration 6 years - comfort - Goretex and Vibram knee</v>
      </c>
    </row>
    <row r="2516">
      <c r="A2516" s="1">
        <v>5.0</v>
      </c>
      <c r="B2516" s="1" t="s">
        <v>2217</v>
      </c>
      <c r="C2516" t="str">
        <f>IFERROR(__xludf.DUMMYFUNCTION("GOOGLETRANSLATE(B2516, ""fr"", ""en"")"),"Very good book series of books easy to read.")</f>
        <v>Very good book series of books easy to read.</v>
      </c>
    </row>
    <row r="2517">
      <c r="A2517" s="1">
        <v>5.0</v>
      </c>
      <c r="B2517" s="1" t="s">
        <v>2501</v>
      </c>
      <c r="C2517" t="str">
        <f>IFERROR(__xludf.DUMMYFUNCTION("GOOGLETRANSLATE(B2517, ""fr"", ""en"")"),"Very satisfied Very nice silver necklace")</f>
        <v>Very satisfied Very nice silver necklace</v>
      </c>
    </row>
    <row r="2518">
      <c r="A2518" s="1">
        <v>5.0</v>
      </c>
      <c r="B2518" s="1" t="s">
        <v>2502</v>
      </c>
      <c r="C2518" t="str">
        <f>IFERROR(__xludf.DUMMYFUNCTION("GOOGLETRANSLATE(B2518, ""fr"", ""en"")"),"Perfect ! handy inverter on the side. Not checked the ""real"" temperature. Bel qualitative terms. The ""sieve"" is removable and can rest in a receptacle whose bottom is very easy to clean silicone. I advise.")</f>
        <v>Perfect ! handy inverter on the side. Not checked the "real" temperature. Bel qualitative terms. The "sieve" is removable and can rest in a receptacle whose bottom is very easy to clean silicone. I advise.</v>
      </c>
    </row>
    <row r="2519">
      <c r="A2519" s="1">
        <v>5.0</v>
      </c>
      <c r="B2519" s="1" t="s">
        <v>2503</v>
      </c>
      <c r="C2519" t="str">
        <f>IFERROR(__xludf.DUMMYFUNCTION("GOOGLETRANSLATE(B2519, ""fr"", ""en"")"),"I can not do without it I love. Very comfortable. Really aesthetic. And super efficient. I recommend 100%")</f>
        <v>I can not do without it I love. Very comfortable. Really aesthetic. And super efficient. I recommend 100%</v>
      </c>
    </row>
    <row r="2520">
      <c r="A2520" s="1">
        <v>5.0</v>
      </c>
      <c r="B2520" s="1" t="s">
        <v>2504</v>
      </c>
      <c r="C2520" t="str">
        <f>IFERROR(__xludf.DUMMYFUNCTION("GOOGLETRANSLATE(B2520, ""fr"", ""en"")"),"Bag Very happy with my bag I can recommend it to everyone")</f>
        <v>Bag Very happy with my bag I can recommend it to everyone</v>
      </c>
    </row>
    <row r="2521">
      <c r="A2521" s="1">
        <v>5.0</v>
      </c>
      <c r="B2521" s="1" t="s">
        <v>2505</v>
      </c>
      <c r="C2521" t="str">
        <f>IFERROR(__xludf.DUMMYFUNCTION("GOOGLETRANSLATE(B2521, ""fr"", ""en"")"),"Large Large Size")</f>
        <v>Large Large Size</v>
      </c>
    </row>
    <row r="2522">
      <c r="A2522" s="1">
        <v>5.0</v>
      </c>
      <c r="B2522" s="1" t="s">
        <v>2506</v>
      </c>
      <c r="C2522" t="str">
        <f>IFERROR(__xludf.DUMMYFUNCTION("GOOGLETRANSLATE(B2522, ""fr"", ""en"")"),"Sport shoes I already had a pair for years. Very comfortable, well hold the ankle. The scratches are great. Virtually indestructible ....")</f>
        <v>Sport shoes I already had a pair for years. Very comfortable, well hold the ankle. The scratches are great. Virtually indestructible ....</v>
      </c>
    </row>
    <row r="2523">
      <c r="A2523" s="1">
        <v>5.0</v>
      </c>
      <c r="B2523" s="1" t="s">
        <v>2507</v>
      </c>
      <c r="C2523" t="str">
        <f>IFERROR(__xludf.DUMMYFUNCTION("GOOGLETRANSLATE(B2523, ""fr"", ""en"")"),"Perfect for relaxing or release tight muscles !!! Subject to migraines, I rely on the head pad to remedy in part. I'm already a fan of carpet to the back and its effect is pleasant and helpful although all but a miracle cure of course. The carpet appears "&amp;"to be durable, easily transportable.")</f>
        <v>Perfect for relaxing or release tight muscles !!! Subject to migraines, I rely on the head pad to remedy in part. I'm already a fan of carpet to the back and its effect is pleasant and helpful although all but a miracle cure of course. The carpet appears to be durable, easily transportable.</v>
      </c>
    </row>
    <row r="2524">
      <c r="A2524" s="1">
        <v>5.0</v>
      </c>
      <c r="B2524" s="1" t="s">
        <v>2508</v>
      </c>
      <c r="C2524" t="str">
        <f>IFERROR(__xludf.DUMMYFUNCTION("GOOGLETRANSLATE(B2524, ""fr"", ""en"")"),"Word to the wise ... Hello, I have the ears which is better, at least in my case, in the field of sound reproduction, for me it serious tear Helmet is beyond everything I could hope for, right now I listen Pink Floy, I feel I hear for the first time, how "&amp;"I could do without it until now, it's just unbelievable. Let's talk about comfort, it perfectly envelope ears, and ""cushions"" are memory foam, no sound can enter or leave, it really is a great helmet, I would not give you any technical information every"&amp;"thing I can tell you is that it is powerful and really bowl, it is pil hair to my waist, I have no adjustment to do and that's pretty cool, I love the color it really is that I saw the pictures of this presentation is also that attracted me, then I consul"&amp;"ted some comments, generally, I look at 4 or 5, they were all favorable, I am more than satisfied by this acquisition, plus it comes in a beautiful black box very dull in which it found a small bag in imitation leather inside which lies the Cowin SE7, cab"&amp;"le charging usb jack + adapter cable, is also a small adapter to plug in an airplane, that's what I heard while watching a video, and I really appreciate it is a good manual in French, I'm sure I'd passed me but it's reassuring, I think I made the round o"&amp;"f question, it is also with a warranty of 18 months, I'm done with the cable that hangs all the time and everywhere, more than once I really thought rip my ears, I just entering another dimension, the real test is for tomorrow, but I already know what awa"&amp;"its me. Now I know why I have long hesitated before switching to Bluetooth, this morning I did not know the brand Cowin and yet ... I have the impression that this headset was designed specifically for me! Yesterday I was listening to music and now I hear"&amp;" it! Its price may seem high but I guarantee you it was worth the money! It is with pleasure that I recommend this Bluetooth headset Cowin SE7!")</f>
        <v>Word to the wise ... Hello, I have the ears which is better, at least in my case, in the field of sound reproduction, for me it serious tear Helmet is beyond everything I could hope for, right now I listen Pink Floy, I feel I hear for the first time, how I could do without it until now, it's just unbelievable. Let's talk about comfort, it perfectly envelope ears, and "cushions" are memory foam, no sound can enter or leave, it really is a great helmet, I would not give you any technical information everything I can tell you is that it is powerful and really bowl, it is pil hair to my waist, I have no adjustment to do and that's pretty cool, I love the color it really is that I saw the pictures of this presentation is also that attracted me, then I consulted some comments, generally, I look at 4 or 5, they were all favorable, I am more than satisfied by this acquisition, plus it comes in a beautiful black box very dull in which it found a small bag in imitation leather inside which lies the Cowin SE7, cable charging usb jack + adapter cable, is also a small adapter to plug in an airplane, that's what I heard while watching a video, and I really appreciate it is a good manual in French, I'm sure I'd passed me but it's reassuring, I think I made the round of question, it is also with a warranty of 18 months, I'm done with the cable that hangs all the time and everywhere, more than once I really thought rip my ears, I just entering another dimension, the real test is for tomorrow, but I already know what awaits me. Now I know why I have long hesitated before switching to Bluetooth, this morning I did not know the brand Cowin and yet ... I have the impression that this headset was designed specifically for me! Yesterday I was listening to music and now I hear it! Its price may seem high but I guarantee you it was worth the money! It is with pleasure that I recommend this Bluetooth headset Cowin SE7!</v>
      </c>
    </row>
    <row r="2525">
      <c r="A2525" s="1">
        <v>5.0</v>
      </c>
      <c r="B2525" s="1" t="s">
        <v>2509</v>
      </c>
      <c r="C2525" t="str">
        <f>IFERROR(__xludf.DUMMYFUNCTION("GOOGLETRANSLATE(B2525, ""fr"", ""en"")"),"Ideal elegant with brilliant un.peu jean.Elles are especially elegant.")</f>
        <v>Ideal elegant with brilliant un.peu jean.Elles are especially elegant.</v>
      </c>
    </row>
    <row r="2526">
      <c r="A2526" s="1">
        <v>5.0</v>
      </c>
      <c r="B2526" s="1" t="s">
        <v>2510</v>
      </c>
      <c r="C2526" t="str">
        <f>IFERROR(__xludf.DUMMYFUNCTION("GOOGLETRANSLATE(B2526, ""fr"", ""en"")"),"Complies description and especially has a very good sound qualities This helmet is a very good quality sound and very easy to use. I recommend you can watch movies without putting too much TV sound which spanked the echo before Very useful when you have a"&amp;" certain age, since each jet helmet that adjusts the volume to its taste")</f>
        <v>Complies description and especially has a very good sound qualities This helmet is a very good quality sound and very easy to use. I recommend you can watch movies without putting too much TV sound which spanked the echo before Very useful when you have a certain age, since each jet helmet that adjusts the volume to its taste</v>
      </c>
    </row>
    <row r="2527">
      <c r="A2527" s="1">
        <v>5.0</v>
      </c>
      <c r="B2527" s="1" t="s">
        <v>2511</v>
      </c>
      <c r="C2527" t="str">
        <f>IFERROR(__xludf.DUMMYFUNCTION("GOOGLETRANSLATE(B2527, ""fr"", ""en"")"),"Softening Very satisfied thank you")</f>
        <v>Softening Very satisfied thank you</v>
      </c>
    </row>
    <row r="2528">
      <c r="A2528" s="1">
        <v>5.0</v>
      </c>
      <c r="B2528" s="1" t="s">
        <v>2512</v>
      </c>
      <c r="C2528" t="str">
        <f>IFERROR(__xludf.DUMMYFUNCTION("GOOGLETRANSLATE(B2528, ""fr"", ""en"")"),"Fast shipping and product conformity Good price")</f>
        <v>Fast shipping and product conformity Good price</v>
      </c>
    </row>
    <row r="2529">
      <c r="A2529" s="1">
        <v>2.0</v>
      </c>
      <c r="B2529" s="1" t="s">
        <v>2513</v>
      </c>
      <c r="C2529" t="str">
        <f>IFERROR(__xludf.DUMMYFUNCTION("GOOGLETRANSLATE(B2529, ""fr"", ""en"")"),"Not terrible Some buttons do not work really, mediocre quality")</f>
        <v>Not terrible Some buttons do not work really, mediocre quality</v>
      </c>
    </row>
    <row r="2530">
      <c r="A2530" s="1">
        <v>1.0</v>
      </c>
      <c r="B2530" s="1" t="s">
        <v>2514</v>
      </c>
      <c r="C2530" t="str">
        <f>IFERROR(__xludf.DUMMYFUNCTION("GOOGLETRANSLATE(B2530, ""fr"", ""en"")"),"very disappointing First cable is double and has a tendency to twist ... Then the headphone playback power is really not good. The source must be thoroughly + the bottom dial to hear ""normally"". I highly recommend!")</f>
        <v>very disappointing First cable is double and has a tendency to twist ... Then the headphone playback power is really not good. The source must be thoroughly + the bottom dial to hear "normally". I highly recommend!</v>
      </c>
    </row>
    <row r="2531">
      <c r="A2531" s="1">
        <v>1.0</v>
      </c>
      <c r="B2531" s="1" t="s">
        <v>2515</v>
      </c>
      <c r="C2531" t="str">
        <f>IFERROR(__xludf.DUMMYFUNCTION("GOOGLETRANSLATE(B2531, ""fr"", ""en"")"),"Does not work after a week. Does not work after a week. Interestingly Pocket model but this is not reliable. Pity")</f>
        <v>Does not work after a week. Does not work after a week. Interestingly Pocket model but this is not reliable. Pity</v>
      </c>
    </row>
    <row r="2532">
      <c r="A2532" s="1">
        <v>3.0</v>
      </c>
      <c r="B2532" s="1" t="s">
        <v>2516</v>
      </c>
      <c r="C2532" t="str">
        <f>IFERROR(__xludf.DUMMYFUNCTION("GOOGLETRANSLATE(B2532, ""fr"", ""en"")"),"colored pencil art castle These pencils have the advantage of having a diverse color palette, which lack certain brands. Working with many different brand color pencil I will say that it is quality rather good but nothing to do with the high-end brands. T"&amp;"he box set and pencil is nice and sober.")</f>
        <v>colored pencil art castle These pencils have the advantage of having a diverse color palette, which lack certain brands. Working with many different brand color pencil I will say that it is quality rather good but nothing to do with the high-end brands. The box set and pencil is nice and sober.</v>
      </c>
    </row>
    <row r="2533">
      <c r="A2533" s="1">
        <v>3.0</v>
      </c>
      <c r="B2533" s="1" t="s">
        <v>2517</v>
      </c>
      <c r="C2533" t="str">
        <f>IFERROR(__xludf.DUMMYFUNCTION("GOOGLETRANSLATE(B2533, ""fr"", ""en"")"),"graduations illegible volume graduations are misplaced. I hold the kettle in the gauchche hand. In this position the levels are unreadable. The small grid of the pouring is impossible to fix ... if you are not specialist games lego ... Why make it complic"&amp;"ated?")</f>
        <v>graduations illegible volume graduations are misplaced. I hold the kettle in the gauchche hand. In this position the levels are unreadable. The small grid of the pouring is impossible to fix ... if you are not specialist games lego ... Why make it complicated?</v>
      </c>
    </row>
    <row r="2534">
      <c r="A2534" s="1">
        <v>4.0</v>
      </c>
      <c r="B2534" s="1" t="s">
        <v>2518</v>
      </c>
      <c r="C2534" t="str">
        <f>IFERROR(__xludf.DUMMYFUNCTION("GOOGLETRANSLATE(B2534, ""fr"", ""en"")"),"Good quality Good quality sole is solid size 39 a little big but with his sole should not be a problem")</f>
        <v>Good quality Good quality sole is solid size 39 a little big but with his sole should not be a problem</v>
      </c>
    </row>
    <row r="2535">
      <c r="A2535" s="1">
        <v>4.0</v>
      </c>
      <c r="B2535" s="1" t="s">
        <v>2519</v>
      </c>
      <c r="C2535" t="str">
        <f>IFERROR(__xludf.DUMMYFUNCTION("GOOGLETRANSLATE(B2535, ""fr"", ""en"")"),"Satisfied Design plump and friendly heating water fast long ago I was looking for a lower capacity model 1l")</f>
        <v>Satisfied Design plump and friendly heating water fast long ago I was looking for a lower capacity model 1l</v>
      </c>
    </row>
    <row r="2536">
      <c r="A2536" s="1">
        <v>4.0</v>
      </c>
      <c r="B2536" s="1" t="s">
        <v>2520</v>
      </c>
      <c r="C2536" t="str">
        <f>IFERROR(__xludf.DUMMYFUNCTION("GOOGLETRANSLATE(B2536, ""fr"", ""en"")"),"Pocket watch Considering the price, it's very nice")</f>
        <v>Pocket watch Considering the price, it's very nice</v>
      </c>
    </row>
    <row r="2537">
      <c r="A2537" s="1">
        <v>4.0</v>
      </c>
      <c r="B2537" s="1" t="s">
        <v>2521</v>
      </c>
      <c r="C2537" t="str">
        <f>IFERROR(__xludf.DUMMYFUNCTION("GOOGLETRANSLATE(B2537, ""fr"", ""en"")"),"Super sweet! I used this water bottle to relieve my pain experienced lower abdomen after childbirth during breastfeeding. The water bottle is very big and wide so the heat is spread over a large area, touch is very silky, soft and soothing. However strong"&amp;" latex smell persists.")</f>
        <v>Super sweet! I used this water bottle to relieve my pain experienced lower abdomen after childbirth during breastfeeding. The water bottle is very big and wide so the heat is spread over a large area, touch is very silky, soft and soothing. However strong latex smell persists.</v>
      </c>
    </row>
    <row r="2538">
      <c r="A2538" s="1">
        <v>5.0</v>
      </c>
      <c r="B2538" s="1" t="s">
        <v>2522</v>
      </c>
      <c r="C2538" t="str">
        <f>IFERROR(__xludf.DUMMYFUNCTION("GOOGLETRANSLATE(B2538, ""fr"", ""en"")"),"Okay Good quality, no problem")</f>
        <v>Okay Good quality, no problem</v>
      </c>
    </row>
    <row r="2539">
      <c r="A2539" s="1">
        <v>5.0</v>
      </c>
      <c r="B2539" s="1" t="s">
        <v>2523</v>
      </c>
      <c r="C2539" t="str">
        <f>IFERROR(__xludf.DUMMYFUNCTION("GOOGLETRANSLATE(B2539, ""fr"", ""en"")"),"Good basketball !! Very happy with my Vans sneakers, I think bought the same to my son but with Mario on the sides !!")</f>
        <v>Good basketball !! Very happy with my Vans sneakers, I think bought the same to my son but with Mario on the sides !!</v>
      </c>
    </row>
    <row r="2540">
      <c r="A2540" s="1">
        <v>5.0</v>
      </c>
      <c r="B2540" s="1" t="s">
        <v>2524</v>
      </c>
      <c r="C2540" t="str">
        <f>IFERROR(__xludf.DUMMYFUNCTION("GOOGLETRANSLATE(B2540, ""fr"", ""en"")"),"I bought lai very well because I am back and grandmother all current purchases for Christmas she c 2 years")</f>
        <v>I bought lai very well because I am back and grandmother all current purchases for Christmas she c 2 years</v>
      </c>
    </row>
    <row r="2541">
      <c r="A2541" s="1">
        <v>5.0</v>
      </c>
      <c r="B2541" s="1" t="s">
        <v>2525</v>
      </c>
      <c r="C2541" t="str">
        <f>IFERROR(__xludf.DUMMYFUNCTION("GOOGLETRANSLATE(B2541, ""fr"", ""en"")"),"Very good. Be careful, it's hot. It's very warm, it heats up quickly, is reliable and even ugly. I wish you good tea.")</f>
        <v>Very good. Be careful, it's hot. It's very warm, it heats up quickly, is reliable and even ugly. I wish you good tea.</v>
      </c>
    </row>
    <row r="2542">
      <c r="A2542" s="1">
        <v>5.0</v>
      </c>
      <c r="B2542" s="1" t="s">
        <v>2526</v>
      </c>
      <c r="C2542" t="str">
        <f>IFERROR(__xludf.DUMMYFUNCTION("GOOGLETRANSLATE(B2542, ""fr"", ""en"")"),"Product delivered quickly Fast shipping, I recommend.")</f>
        <v>Product delivered quickly Fast shipping, I recommend.</v>
      </c>
    </row>
    <row r="2543">
      <c r="A2543" s="1">
        <v>5.0</v>
      </c>
      <c r="B2543" s="1" t="s">
        <v>2527</v>
      </c>
      <c r="C2543" t="str">
        <f>IFERROR(__xludf.DUMMYFUNCTION("GOOGLETRANSLATE(B2543, ""fr"", ""en"")"),"This handy little pouch is handy. she likes a lot to my boyfriend who can put a rather large wallet, cell phone and keys easily. This is perfect for hiking to lighten the pockets of the pants. The closures work well. the pockets are padded which is an add"&amp;"itional security against blows or rain. The shoulder straps are functional and safe enough (well I do not like the shoulder belt bag but each his own). Anyway this little bag is handy .. it may be small but allows to have only the essentials. plus its bla"&amp;"ck color reinforces some discretion")</f>
        <v>This handy little pouch is handy. she likes a lot to my boyfriend who can put a rather large wallet, cell phone and keys easily. This is perfect for hiking to lighten the pockets of the pants. The closures work well. the pockets are padded which is an additional security against blows or rain. The shoulder straps are functional and safe enough (well I do not like the shoulder belt bag but each his own). Anyway this little bag is handy .. it may be small but allows to have only the essentials. plus its black color reinforces some discretion</v>
      </c>
    </row>
    <row r="2544">
      <c r="A2544" s="1">
        <v>5.0</v>
      </c>
      <c r="B2544" s="1" t="s">
        <v>2528</v>
      </c>
      <c r="C2544" t="str">
        <f>IFERROR(__xludf.DUMMYFUNCTION("GOOGLETRANSLATE(B2544, ""fr"", ""en"")"),"Complies as indicated conforms to what is stated")</f>
        <v>Complies as indicated conforms to what is stated</v>
      </c>
    </row>
    <row r="2545">
      <c r="A2545" s="1">
        <v>5.0</v>
      </c>
      <c r="B2545" s="1" t="s">
        <v>2529</v>
      </c>
      <c r="C2545" t="str">
        <f>IFERROR(__xludf.DUMMYFUNCTION("GOOGLETRANSLATE(B2545, ""fr"", ""en"")"),"gray Converse Super fast delivery neat and perfect my shoes are at the top and the size you need! It all at a fair price")</f>
        <v>gray Converse Super fast delivery neat and perfect my shoes are at the top and the size you need! It all at a fair price</v>
      </c>
    </row>
    <row r="2546">
      <c r="A2546" s="1">
        <v>5.0</v>
      </c>
      <c r="B2546" s="1" t="s">
        <v>2530</v>
      </c>
      <c r="C2546" t="str">
        <f>IFERROR(__xludf.DUMMYFUNCTION("GOOGLETRANSLATE(B2546, ""fr"", ""en"")"),"Excellent product Excellent product. The insulation is very good and the full bottle keeps hot drink more than 4 hours, unlike many cheap thermos. I have not noticed any particular difficulty with the opening or closing of the screw cap.")</f>
        <v>Excellent product Excellent product. The insulation is very good and the full bottle keeps hot drink more than 4 hours, unlike many cheap thermos. I have not noticed any particular difficulty with the opening or closing of the screw cap.</v>
      </c>
    </row>
    <row r="2547">
      <c r="A2547" s="1">
        <v>5.0</v>
      </c>
      <c r="B2547" s="1" t="s">
        <v>2531</v>
      </c>
      <c r="C2547" t="str">
        <f>IFERROR(__xludf.DUMMYFUNCTION("GOOGLETRANSLATE(B2547, ""fr"", ""en"")"),"Perfect for sports headset perfect for sport and comfortable")</f>
        <v>Perfect for sports headset perfect for sport and comfortable</v>
      </c>
    </row>
    <row r="2548">
      <c r="A2548" s="1">
        <v>5.0</v>
      </c>
      <c r="B2548" s="1" t="s">
        <v>2532</v>
      </c>
      <c r="C2548" t="str">
        <f>IFERROR(__xludf.DUMMYFUNCTION("GOOGLETRANSLATE(B2548, ""fr"", ""en"")"),"Impeccable Awesome nothing to say")</f>
        <v>Impeccable Awesome nothing to say</v>
      </c>
    </row>
    <row r="2549">
      <c r="A2549" s="1">
        <v>5.0</v>
      </c>
      <c r="B2549" s="1" t="s">
        <v>2533</v>
      </c>
      <c r="C2549" t="str">
        <f>IFERROR(__xludf.DUMMYFUNCTION("GOOGLETRANSLATE(B2549, ""fr"", ""en"")"),"cartridge canon cartridges are good quality. I take them all the time on this site. rapid dispatch")</f>
        <v>cartridge canon cartridges are good quality. I take them all the time on this site. rapid dispatch</v>
      </c>
    </row>
    <row r="2550">
      <c r="A2550" s="1">
        <v>5.0</v>
      </c>
      <c r="B2550" s="1" t="s">
        <v>2534</v>
      </c>
      <c r="C2550" t="str">
        <f>IFERROR(__xludf.DUMMYFUNCTION("GOOGLETRANSLATE(B2550, ""fr"", ""en"")"),"Beautiful gem Very nice product, delivered in a stylish box, which is itself very chic. The reflections are beautiful and it is discreet and yet we only see him. My mother is delighted.")</f>
        <v>Beautiful gem Very nice product, delivered in a stylish box, which is itself very chic. The reflections are beautiful and it is discreet and yet we only see him. My mother is delighted.</v>
      </c>
    </row>
    <row r="2551">
      <c r="A2551" s="1">
        <v>5.0</v>
      </c>
      <c r="B2551" s="1" t="s">
        <v>2535</v>
      </c>
      <c r="C2551" t="str">
        <f>IFERROR(__xludf.DUMMYFUNCTION("GOOGLETRANSLATE(B2551, ""fr"", ""en"")"),"Sending very fast, thank you very fast shipping, thank you")</f>
        <v>Sending very fast, thank you very fast shipping, thank you</v>
      </c>
    </row>
    <row r="2552">
      <c r="A2552" s="1">
        <v>5.0</v>
      </c>
      <c r="B2552" s="1" t="s">
        <v>2536</v>
      </c>
      <c r="C2552" t="str">
        <f>IFERROR(__xludf.DUMMYFUNCTION("GOOGLETRANSLATE(B2552, ""fr"", ""en"")"),"Fast Conforms to the description of vendeur.Je recommends.")</f>
        <v>Fast Conforms to the description of vendeur.Je recommends.</v>
      </c>
    </row>
    <row r="2553">
      <c r="A2553" s="1">
        <v>5.0</v>
      </c>
      <c r="B2553" s="1" t="s">
        <v>2537</v>
      </c>
      <c r="C2553" t="str">
        <f>IFERROR(__xludf.DUMMYFUNCTION("GOOGLETRANSLATE(B2553, ""fr"", ""en"")"),"Keeps well head Headphones are great! I really like noise reduction, especially outside it is impressive! The sound is very very good, and not lose quality even in very high amount. The headset itself is super comfortable, to forget that the door!")</f>
        <v>Keeps well head Headphones are great! I really like noise reduction, especially outside it is impressive! The sound is very very good, and not lose quality even in very high amount. The headset itself is super comfortable, to forget that the door!</v>
      </c>
    </row>
    <row r="2554">
      <c r="A2554" s="1">
        <v>2.0</v>
      </c>
      <c r="B2554" s="1" t="s">
        <v>2538</v>
      </c>
      <c r="C2554" t="str">
        <f>IFERROR(__xludf.DUMMYFUNCTION("GOOGLETRANSLATE(B2554, ""fr"", ""en"")"),"Very disappointed quickly worn sole and quickly split leather. Overpriced for quality become so poor. The company sits on his brand is worthless.")</f>
        <v>Very disappointed quickly worn sole and quickly split leather. Overpriced for quality become so poor. The company sits on his brand is worthless.</v>
      </c>
    </row>
    <row r="2555">
      <c r="A2555" s="1">
        <v>1.0</v>
      </c>
      <c r="B2555" s="1" t="s">
        <v>2539</v>
      </c>
      <c r="C2555" t="str">
        <f>IFERROR(__xludf.DUMMYFUNCTION("GOOGLETRANSLATE(B2555, ""fr"", ""en"")"),"disappointed and Delivery size: no problem. But ... I bought long boots Levi's before trying other brands. I wanted to try again Levi's. Big disappointment, it will be my last. The appearance of the shoes is consistent but big disappointment with the qual"&amp;"ity. A sole very ""plastic"", false-stitching, an interior that hurt me and caused blisters from the first use, especially at the heel. For a price [of origin] 140 euros, better add 50 euros and have a leather &amp; amp; finish / quality tip-top example in h "&amp;"by-Hudson (I use a pair of this brand for 5 years ...) rather than spend between 100 and 140 euros in boots that are not worth more 70.")</f>
        <v>disappointed and Delivery size: no problem. But ... I bought long boots Levi's before trying other brands. I wanted to try again Levi's. Big disappointment, it will be my last. The appearance of the shoes is consistent but big disappointment with the quality. A sole very "plastic", false-stitching, an interior that hurt me and caused blisters from the first use, especially at the heel. For a price [of origin] 140 euros, better add 50 euros and have a leather &amp; amp; finish / quality tip-top example in h by-Hudson (I use a pair of this brand for 5 years ...) rather than spend between 100 and 140 euros in boots that are not worth more 70.</v>
      </c>
    </row>
    <row r="2556">
      <c r="A2556" s="1">
        <v>1.0</v>
      </c>
      <c r="B2556" s="1" t="s">
        <v>2540</v>
      </c>
      <c r="C2556" t="str">
        <f>IFERROR(__xludf.DUMMYFUNCTION("GOOGLETRANSLATE(B2556, ""fr"", ""en"")"),"To flee ! To flee! Received early July early August ... the chain is black !!! It is not of 925 sterling silver !!! Plated silver at best and again! Very disapointed !")</f>
        <v>To flee ! To flee! Received early July early August ... the chain is black !!! It is not of 925 sterling silver !!! Plated silver at best and again! Very disapointed !</v>
      </c>
    </row>
    <row r="2557">
      <c r="A2557" s="1">
        <v>3.0</v>
      </c>
      <c r="B2557" s="1" t="s">
        <v>2541</v>
      </c>
      <c r="C2557" t="str">
        <f>IFERROR(__xludf.DUMMYFUNCTION("GOOGLETRANSLATE(B2557, ""fr"", ""en"")"),"Good product I use the headset all day for my work, autonomy is excellent and the sound is good, for it makes me very against earache, the output is too large.")</f>
        <v>Good product I use the headset all day for my work, autonomy is excellent and the sound is good, for it makes me very against earache, the output is too large.</v>
      </c>
    </row>
    <row r="2558">
      <c r="A2558" s="1">
        <v>4.0</v>
      </c>
      <c r="B2558" s="1" t="s">
        <v>2542</v>
      </c>
      <c r="C2558" t="str">
        <f>IFERROR(__xludf.DUMMYFUNCTION("GOOGLETRANSLATE(B2558, ""fr"", ""en"")"),"kdo mommy difficult to choose a pair of shoes when it's not for himself. Yet I did ..... to nearly half size. Small sole add and voila. Except for my next purchase New Balance, I know the size. Very nice color")</f>
        <v>kdo mommy difficult to choose a pair of shoes when it's not for himself. Yet I did ..... to nearly half size. Small sole add and voila. Except for my next purchase New Balance, I know the size. Very nice color</v>
      </c>
    </row>
    <row r="2559">
      <c r="A2559" s="1">
        <v>4.0</v>
      </c>
      <c r="B2559" s="1" t="s">
        <v>2543</v>
      </c>
      <c r="C2559" t="str">
        <f>IFERROR(__xludf.DUMMYFUNCTION("GOOGLETRANSLATE(B2559, ""fr"", ""en"")"),"Rode SC4 Perfect for taking her on a Samsung A5 from a microphone or connected to a mixer on output out. Small problem, the cable is a little late when a seeming fragility. It is only for this reason that I put only four stars. very quick and correct deli"&amp;"very packaging.")</f>
        <v>Rode SC4 Perfect for taking her on a Samsung A5 from a microphone or connected to a mixer on output out. Small problem, the cable is a little late when a seeming fragility. It is only for this reason that I put only four stars. very quick and correct delivery packaging.</v>
      </c>
    </row>
    <row r="2560">
      <c r="A2560" s="1">
        <v>4.0</v>
      </c>
      <c r="B2560" s="1" t="s">
        <v>2544</v>
      </c>
      <c r="C2560" t="str">
        <f>IFERROR(__xludf.DUMMYFUNCTION("GOOGLETRANSLATE(B2560, ""fr"", ""en"")"),"Perfect practice")</f>
        <v>Perfect practice</v>
      </c>
    </row>
    <row r="2561">
      <c r="A2561" s="1">
        <v>4.0</v>
      </c>
      <c r="B2561" s="1" t="s">
        <v>2545</v>
      </c>
      <c r="C2561" t="str">
        <f>IFERROR(__xludf.DUMMYFUNCTION("GOOGLETRANSLATE(B2561, ""fr"", ""en"")"),"Very Good for those who like energetic massage Having problems cervical I have decided to buy this massager. It is hard and did pretty badly. I do not use it often because it is too hard for me. For people loving energetic massage this device is perfect.")</f>
        <v>Very Good for those who like energetic massage Having problems cervical I have decided to buy this massager. It is hard and did pretty badly. I do not use it often because it is too hard for me. For people loving energetic massage this device is perfect.</v>
      </c>
    </row>
    <row r="2562">
      <c r="A2562" s="1">
        <v>4.0</v>
      </c>
      <c r="B2562" s="1" t="s">
        <v>2546</v>
      </c>
      <c r="C2562" t="str">
        <f>IFERROR(__xludf.DUMMYFUNCTION("GOOGLETRANSLATE(B2562, ""fr"", ""en"")"),"The slightly different material and elasticity are slightly different from the old bracelet my Vector. So, the loop is released more easily. Otherwise, the quality of materials is quite comparable and screws are founis.")</f>
        <v>The slightly different material and elasticity are slightly different from the old bracelet my Vector. So, the loop is released more easily. Otherwise, the quality of materials is quite comparable and screws are founis.</v>
      </c>
    </row>
    <row r="2563">
      <c r="A2563" s="1">
        <v>5.0</v>
      </c>
      <c r="B2563" s="1" t="s">
        <v>2547</v>
      </c>
      <c r="C2563" t="str">
        <f>IFERROR(__xludf.DUMMYFUNCTION("GOOGLETRANSLATE(B2563, ""fr"", ""en"")"),"Okay Meets description. Good value for money")</f>
        <v>Okay Meets description. Good value for money</v>
      </c>
    </row>
    <row r="2564">
      <c r="A2564" s="1">
        <v>5.0</v>
      </c>
      <c r="B2564" s="1" t="s">
        <v>2548</v>
      </c>
      <c r="C2564" t="str">
        <f>IFERROR(__xludf.DUMMYFUNCTION("GOOGLETRANSLATE(B2564, ""fr"", ""en"")"),"Reviews Super comfortable")</f>
        <v>Reviews Super comfortable</v>
      </c>
    </row>
    <row r="2565">
      <c r="A2565" s="1">
        <v>5.0</v>
      </c>
      <c r="B2565" s="1" t="s">
        <v>2549</v>
      </c>
      <c r="C2565" t="str">
        <f>IFERROR(__xludf.DUMMYFUNCTION("GOOGLETRANSLATE(B2565, ""fr"", ""en"")"),"ok nice watch legible for an aged man, but the band is hard at first, finally too rigid gift made fun")</f>
        <v>ok nice watch legible for an aged man, but the band is hard at first, finally too rigid gift made fun</v>
      </c>
    </row>
    <row r="2566">
      <c r="A2566" s="1">
        <v>5.0</v>
      </c>
      <c r="B2566" s="1" t="s">
        <v>2550</v>
      </c>
      <c r="C2566" t="str">
        <f>IFERROR(__xludf.DUMMYFUNCTION("GOOGLETRANSLATE(B2566, ""fr"", ""en"")"),"Very good I have to date no problem with the object, on the contrary, it served its purpose perfectly and the value for money is good.")</f>
        <v>Very good I have to date no problem with the object, on the contrary, it served its purpose perfectly and the value for money is good.</v>
      </c>
    </row>
    <row r="2567">
      <c r="A2567" s="1">
        <v>5.0</v>
      </c>
      <c r="B2567" s="1" t="s">
        <v>2551</v>
      </c>
      <c r="C2567" t="str">
        <f>IFERROR(__xludf.DUMMYFUNCTION("GOOGLETRANSLATE(B2567, ""fr"", ""en"")"),"Super Super 👍 products, practical")</f>
        <v>Super Super 👍 products, practical</v>
      </c>
    </row>
    <row r="2568">
      <c r="A2568" s="1">
        <v>5.0</v>
      </c>
      <c r="B2568" s="1" t="s">
        <v>2552</v>
      </c>
      <c r="C2568" t="str">
        <f>IFERROR(__xludf.DUMMYFUNCTION("GOOGLETRANSLATE(B2568, ""fr"", ""en"")"),"Perfect Nothing to say")</f>
        <v>Perfect Nothing to say</v>
      </c>
    </row>
    <row r="2569">
      <c r="A2569" s="1">
        <v>5.0</v>
      </c>
      <c r="B2569" s="1" t="s">
        <v>2553</v>
      </c>
      <c r="C2569" t="str">
        <f>IFERROR(__xludf.DUMMYFUNCTION("GOOGLETRANSLATE(B2569, ""fr"", ""en"")"),"Nikel Nothing to say flawless")</f>
        <v>Nikel Nothing to say flawless</v>
      </c>
    </row>
    <row r="2570">
      <c r="A2570" s="1">
        <v>5.0</v>
      </c>
      <c r="B2570" s="1" t="s">
        <v>2554</v>
      </c>
      <c r="C2570" t="str">
        <f>IFERROR(__xludf.DUMMYFUNCTION("GOOGLETRANSLATE(B2570, ""fr"", ""en"")"),"Trainers black Hammer To my job super pharmacology products I'm really happy with my purchase")</f>
        <v>Trainers black Hammer To my job super pharmacology products I'm really happy with my purchase</v>
      </c>
    </row>
    <row r="2571">
      <c r="A2571" s="1">
        <v>5.0</v>
      </c>
      <c r="B2571" s="1" t="s">
        <v>2555</v>
      </c>
      <c r="C2571" t="str">
        <f>IFERROR(__xludf.DUMMYFUNCTION("GOOGLETRANSLATE(B2571, ""fr"", ""en"")"),"perfect comfortable Perfect Light")</f>
        <v>perfect comfortable Perfect Light</v>
      </c>
    </row>
    <row r="2572">
      <c r="A2572" s="1">
        <v>5.0</v>
      </c>
      <c r="B2572" s="1" t="s">
        <v>2556</v>
      </c>
      <c r="C2572" t="str">
        <f>IFERROR(__xludf.DUMMYFUNCTION("GOOGLETRANSLATE(B2572, ""fr"", ""en"")"),"A Magnificent buy as pictured not esitez. It is shiny jewelry beautiful quiet a bit small for my taste circles")</f>
        <v>A Magnificent buy as pictured not esitez. It is shiny jewelry beautiful quiet a bit small for my taste circles</v>
      </c>
    </row>
    <row r="2573">
      <c r="A2573" s="1">
        <v>5.0</v>
      </c>
      <c r="B2573" s="1" t="s">
        <v>2557</v>
      </c>
      <c r="C2573" t="str">
        <f>IFERROR(__xludf.DUMMYFUNCTION("GOOGLETRANSLATE(B2573, ""fr"", ""en"")"),"Watch cheap Very nice watch, nothing to say money")</f>
        <v>Watch cheap Very nice watch, nothing to say money</v>
      </c>
    </row>
    <row r="2574">
      <c r="A2574" s="1">
        <v>5.0</v>
      </c>
      <c r="B2574" s="1" t="s">
        <v>2558</v>
      </c>
      <c r="C2574" t="str">
        <f>IFERROR(__xludf.DUMMYFUNCTION("GOOGLETRANSLATE(B2574, ""fr"", ""en"")"),"Super nice little sweater pullover Do not expect the most Folle quality for the reasons very well but given its price.")</f>
        <v>Super nice little sweater pullover Do not expect the most Folle quality for the reasons very well but given its price.</v>
      </c>
    </row>
    <row r="2575">
      <c r="A2575" s="1">
        <v>5.0</v>
      </c>
      <c r="B2575" s="1" t="s">
        <v>2559</v>
      </c>
      <c r="C2575" t="str">
        <f>IFERROR(__xludf.DUMMYFUNCTION("GOOGLETRANSLATE(B2575, ""fr"", ""en"")"),"great smells wonderful !! I suggest it's fresh !!")</f>
        <v>great smells wonderful !! I suggest it's fresh !!</v>
      </c>
    </row>
    <row r="2576">
      <c r="A2576" s="1">
        <v>5.0</v>
      </c>
      <c r="B2576" s="1" t="s">
        <v>2560</v>
      </c>
      <c r="C2576" t="str">
        <f>IFERROR(__xludf.DUMMYFUNCTION("GOOGLETRANSLATE(B2576, ""fr"", ""en"")"),"Perfect Everything was perfect to protect my logbook, very rigid and of good quality. Nothing to say about this =)")</f>
        <v>Perfect Everything was perfect to protect my logbook, very rigid and of good quality. Nothing to say about this =)</v>
      </c>
    </row>
    <row r="2577">
      <c r="A2577" s="1">
        <v>5.0</v>
      </c>
      <c r="B2577" s="1" t="s">
        <v>2561</v>
      </c>
      <c r="C2577" t="str">
        <f>IFERROR(__xludf.DUMMYFUNCTION("GOOGLETRANSLATE(B2577, ""fr"", ""en"")"),"pair of all-terrain shoes, perfect for leisure outside here essentially returns my companion made about these Columbia Redmond V2 Mid WP Hiking Boots High Woman, Black, Black Ch, 40 EU: they are comfortable shoes with good cushioning, whether on flat or r"&amp;"ocky terrain. to go on the rocks, they are resistant. the material is breathable without one has provided wet feet. the design is quite large for women hiking shoes. in short, she is satisfied.")</f>
        <v>pair of all-terrain shoes, perfect for leisure outside here essentially returns my companion made about these Columbia Redmond V2 Mid WP Hiking Boots High Woman, Black, Black Ch, 40 EU: they are comfortable shoes with good cushioning, whether on flat or rocky terrain. to go on the rocks, they are resistant. the material is breathable without one has provided wet feet. the design is quite large for women hiking shoes. in short, she is satisfied.</v>
      </c>
    </row>
    <row r="2578">
      <c r="A2578" s="1">
        <v>2.0</v>
      </c>
      <c r="B2578" s="1" t="s">
        <v>2562</v>
      </c>
      <c r="C2578" t="str">
        <f>IFERROR(__xludf.DUMMYFUNCTION("GOOGLETRANSLATE(B2578, ""fr"", ""en"")"),"Short I have not received the carrying pouch which should normally be the case if after the first session 3x20 min row I felt the little muscle soreness the next day so for the moment I am unable to tell you what is the short")</f>
        <v>Short I have not received the carrying pouch which should normally be the case if after the first session 3x20 min row I felt the little muscle soreness the next day so for the moment I am unable to tell you what is the short</v>
      </c>
    </row>
    <row r="2579">
      <c r="A2579" s="1">
        <v>1.0</v>
      </c>
      <c r="B2579" s="1" t="s">
        <v>2563</v>
      </c>
      <c r="C2579" t="str">
        <f>IFERROR(__xludf.DUMMYFUNCTION("GOOGLETRANSLATE(B2579, ""fr"", ""en"")"),"Must be good for the S see M no longer buy XL 42 The high waist is not the case even if I want to go there goes down as soon because the matter is smooth and elastic A little disappointed but hey jen needed I keep. Must be the top for who place see S M si"&amp;"ze for the high level otherwise drop")</f>
        <v>Must be good for the S see M no longer buy XL 42 The high waist is not the case even if I want to go there goes down as soon because the matter is smooth and elastic A little disappointed but hey jen needed I keep. Must be the top for who place see S M size for the high level otherwise drop</v>
      </c>
    </row>
    <row r="2580">
      <c r="A2580" s="1">
        <v>3.0</v>
      </c>
      <c r="B2580" s="1" t="s">
        <v>2564</v>
      </c>
      <c r="C2580" t="str">
        <f>IFERROR(__xludf.DUMMYFUNCTION("GOOGLETRANSLATE(B2580, ""fr"", ""en"")"),"Mixed I do not think AC is a real effect that colic ...")</f>
        <v>Mixed I do not think AC is a real effect that colic ...</v>
      </c>
    </row>
    <row r="2581">
      <c r="A2581" s="1">
        <v>3.0</v>
      </c>
      <c r="B2581" s="1" t="s">
        <v>2565</v>
      </c>
      <c r="C2581" t="str">
        <f>IFERROR(__xludf.DUMMYFUNCTION("GOOGLETRANSLATE(B2581, ""fr"", ""en"")"),"Too large size model and if like me chest generous attention because shell in bra")</f>
        <v>Too large size model and if like me chest generous attention because shell in bra</v>
      </c>
    </row>
    <row r="2582">
      <c r="A2582" s="1">
        <v>4.0</v>
      </c>
      <c r="B2582" s="1" t="s">
        <v>2566</v>
      </c>
      <c r="C2582" t="str">
        <f>IFERROR(__xludf.DUMMYFUNCTION("GOOGLETRANSLATE(B2582, ""fr"", ""en"")"),"Works well Overall not bad, at least my wife is thrilled. Warning not suitable for travel given the size, format is not compact but knew. Pros: - Efficient - very soft and easy tip washing - Different programs - The head pivots slightly to fit Cons: - A h"&amp;"air noisy ""normal"" operation - Very noisy in operation ""maximum"" - Connectivity at the loader that makes a little ""cheap"" to see what happens in time - the house of very average storage (garbage in my case) - No charger, only the USB cable")</f>
        <v>Works well Overall not bad, at least my wife is thrilled. Warning not suitable for travel given the size, format is not compact but knew. Pros: - Efficient - very soft and easy tip washing - Different programs - The head pivots slightly to fit Cons: - A hair noisy "normal" operation - Very noisy in operation "maximum" - Connectivity at the loader that makes a little "cheap" to see what happens in time - the house of very average storage (garbage in my case) - No charger, only the USB cable</v>
      </c>
    </row>
    <row r="2583">
      <c r="A2583" s="1">
        <v>4.0</v>
      </c>
      <c r="B2583" s="1" t="s">
        <v>1261</v>
      </c>
      <c r="C2583" t="str">
        <f>IFERROR(__xludf.DUMMYFUNCTION("GOOGLETRANSLATE(B2583, ""fr"", ""en"")"),"good good")</f>
        <v>good good</v>
      </c>
    </row>
    <row r="2584">
      <c r="A2584" s="1">
        <v>4.0</v>
      </c>
      <c r="B2584" s="1" t="s">
        <v>2567</v>
      </c>
      <c r="C2584" t="str">
        <f>IFERROR(__xludf.DUMMYFUNCTION("GOOGLETRANSLATE(B2584, ""fr"", ""en"")"),"The helmet of Sauron I am quite a fan of ""Bose sound"", which wants to sound more ""realistic"" and not ultra typed. I loved this helmet! Already by its format: it is small, and once cleverly fold in its case it fits everywhere in a protected manner. It "&amp;"is very light and suddenly it causes no fatigue. Pairing is very simple and above all it is with multiple devices. Indeed, paired with an Android smartphone, iPhone, Mac, ... as soon as one of the devices emits a sound, it switches on the helmet. It's qui"&amp;"te magical. Well sometimes it is necessary to ""force"" the connection but this is rare, especially during a call on a phone while listening to music from another device, I never missed a call. The connection is always made. Hence the title of my review: "&amp;"""Sauron's helmet"" in reference to the ring of Sauron from Lord of the Rings and the fact that this headset brings together all my bluetooth devices! It's super nice. An additional plus point: it is one of the few headsets that my interlocutors during a "&amp;"call phone, tell me they hear me very well. And yet I've tried bluetooth headsets! So why remove a star? In relation to quality. Certainly there helmet is all very nice, but it certainly does not last. For example my first Quiet Comfort, bought in the US,"&amp;" broke the fifth use (headphone € 400 at the time) because of a too brittle plastic. But this time ... the worst is the predecessor of the keg I got there 2 years (maximum), and cousins ​​not end up breaking up with time. It's a shame that these helmets d"&amp;"o not take the distance, because the sound is really good, this model is perfect for urban travel by its lightness, the use in communication is exceptional (according to my interlocutors) and pairing multiple devices enables a truly ultra comfortable use.")</f>
        <v>The helmet of Sauron I am quite a fan of "Bose sound", which wants to sound more "realistic" and not ultra typed. I loved this helmet! Already by its format: it is small, and once cleverly fold in its case it fits everywhere in a protected manner. It is very light and suddenly it causes no fatigue. Pairing is very simple and above all it is with multiple devices. Indeed, paired with an Android smartphone, iPhone, Mac, ... as soon as one of the devices emits a sound, it switches on the helmet. It's quite magical. Well sometimes it is necessary to "force" the connection but this is rare, especially during a call on a phone while listening to music from another device, I never missed a call. The connection is always made. Hence the title of my review: "Sauron's helmet" in reference to the ring of Sauron from Lord of the Rings and the fact that this headset brings together all my bluetooth devices! It's super nice. An additional plus point: it is one of the few headsets that my interlocutors during a call phone, tell me they hear me very well. And yet I've tried bluetooth headsets! So why remove a star? In relation to quality. Certainly there helmet is all very nice, but it certainly does not last. For example my first Quiet Comfort, bought in the US, broke the fifth use (headphone € 400 at the time) because of a too brittle plastic. But this time ... the worst is the predecessor of the keg I got there 2 years (maximum), and cousins ​​not end up breaking up with time. It's a shame that these helmets do not take the distance, because the sound is really good, this model is perfect for urban travel by its lightness, the use in communication is exceptional (according to my interlocutors) and pairing multiple devices enables a truly ultra comfortable use.</v>
      </c>
    </row>
    <row r="2585">
      <c r="A2585" s="1">
        <v>4.0</v>
      </c>
      <c r="B2585" s="1" t="s">
        <v>2568</v>
      </c>
      <c r="C2585" t="str">
        <f>IFERROR(__xludf.DUMMYFUNCTION("GOOGLETRANSLATE(B2585, ""fr"", ""en"")"),"Puma Good product, the photo matches the product! The seams are clean, the size and adapt as planned! Ideal for the beach or the pool!")</f>
        <v>Puma Good product, the photo matches the product! The seams are clean, the size and adapt as planned! Ideal for the beach or the pool!</v>
      </c>
    </row>
    <row r="2586">
      <c r="A2586" s="1">
        <v>5.0</v>
      </c>
      <c r="B2586" s="1" t="s">
        <v>2569</v>
      </c>
      <c r="C2586" t="str">
        <f>IFERROR(__xludf.DUMMYFUNCTION("GOOGLETRANSLATE(B2586, ""fr"", ""en"")"),"Rugged, beautiful, functional I use very often. This bag is very convenient. Are too large, are too small. She has an amazing look. The colors of autumn. She go with any kind of clothes. It is very convenient. Besides this brand completely the evidence.")</f>
        <v>Rugged, beautiful, functional I use very often. This bag is very convenient. Are too large, are too small. She has an amazing look. The colors of autumn. She go with any kind of clothes. It is very convenient. Besides this brand completely the evidence.</v>
      </c>
    </row>
    <row r="2587">
      <c r="A2587" s="1">
        <v>5.0</v>
      </c>
      <c r="B2587" s="1" t="s">
        <v>2570</v>
      </c>
      <c r="C2587" t="str">
        <f>IFERROR(__xludf.DUMMYFUNCTION("GOOGLETRANSLATE(B2587, ""fr"", ""en"")"),"Very good buy !! Awesome !!! Too good quality and beautiful! I just love it !! ❤️❤️❤️")</f>
        <v>Very good buy !! Awesome !!! Too good quality and beautiful! I just love it !! ❤️❤️❤️</v>
      </c>
    </row>
    <row r="2588">
      <c r="A2588" s="1">
        <v>5.0</v>
      </c>
      <c r="B2588" s="1" t="s">
        <v>2571</v>
      </c>
      <c r="C2588" t="str">
        <f>IFERROR(__xludf.DUMMYFUNCTION("GOOGLETRANSLATE(B2588, ""fr"", ""en"")"),"The best bottle warmer Top heater I use it by putting bottles of hot water and when I did I put the bottle half water half hot water bottle and c nikel The water is warm almost overnight Really very practical")</f>
        <v>The best bottle warmer Top heater I use it by putting bottles of hot water and when I did I put the bottle half water half hot water bottle and c nikel The water is warm almost overnight Really very practical</v>
      </c>
    </row>
    <row r="2589">
      <c r="A2589" s="1">
        <v>5.0</v>
      </c>
      <c r="B2589" s="1" t="s">
        <v>2572</v>
      </c>
      <c r="C2589" t="str">
        <f>IFERROR(__xludf.DUMMYFUNCTION("GOOGLETRANSLATE(B2589, ""fr"", ""en"")"),"Basketball The sneakers are comfortable and good quality! Good value for money ! I am very satisfied. 😊")</f>
        <v>Basketball The sneakers are comfortable and good quality! Good value for money ! I am very satisfied. 😊</v>
      </c>
    </row>
    <row r="2590">
      <c r="A2590" s="1">
        <v>5.0</v>
      </c>
      <c r="B2590" s="1" t="s">
        <v>2573</v>
      </c>
      <c r="C2590" t="str">
        <f>IFERROR(__xludf.DUMMYFUNCTION("GOOGLETRANSLATE(B2590, ""fr"", ""en"")"),"Good product Package Contents: - One bottle of 170 ml of product to clean your gold jewelry, platinum, diamonds, sapphires, rubies - a basket to put the jewelry in the product pool (included in the pot) - A small brush to clean jewelry simplicity with whi"&amp;"ch we appreciate jewelry cleaned, we put the jewelry in the basket, is stirred, allowed to act 2 minutes, rub with brush, rinse with warm water and towel with a soft cloth or a chamois, Material is pleasant to use because it feels good, the basket is big "&amp;"enough to clean several simultaneously jewelry. You should know that after opening the bottle, the product remains effective 12 months. The result is satisfactory, the shining jewels, you realize that they were ultimately very dirty when we see the state "&amp;"of the chamois with which the windshield, it is full of black streaks. Very good price / quality, easy to use, fun to use and effective so without hesitation, I recommend this product.")</f>
        <v>Good product Package Contents: - One bottle of 170 ml of product to clean your gold jewelry, platinum, diamonds, sapphires, rubies - a basket to put the jewelry in the product pool (included in the pot) - A small brush to clean jewelry simplicity with which we appreciate jewelry cleaned, we put the jewelry in the basket, is stirred, allowed to act 2 minutes, rub with brush, rinse with warm water and towel with a soft cloth or a chamois, Material is pleasant to use because it feels good, the basket is big enough to clean several simultaneously jewelry. You should know that after opening the bottle, the product remains effective 12 months. The result is satisfactory, the shining jewels, you realize that they were ultimately very dirty when we see the state of the chamois with which the windshield, it is full of black streaks. Very good price / quality, easy to use, fun to use and effective so without hesitation, I recommend this product.</v>
      </c>
    </row>
    <row r="2591">
      <c r="A2591" s="1">
        <v>5.0</v>
      </c>
      <c r="B2591" s="1" t="s">
        <v>224</v>
      </c>
      <c r="C2591" t="str">
        <f>IFERROR(__xludf.DUMMYFUNCTION("GOOGLETRANSLATE(B2591, ""fr"", ""en"")"),"perfect perfect")</f>
        <v>perfect perfect</v>
      </c>
    </row>
    <row r="2592">
      <c r="A2592" s="1">
        <v>5.0</v>
      </c>
      <c r="B2592" s="1" t="s">
        <v>2574</v>
      </c>
      <c r="C2592" t="str">
        <f>IFERROR(__xludf.DUMMYFUNCTION("GOOGLETRANSLATE(B2592, ""fr"", ""en"")"),"Elegant, beautiful hair Pretty Bracelet ordered to offer received in a beautiful setting. Elegance and finesse.")</f>
        <v>Elegant, beautiful hair Pretty Bracelet ordered to offer received in a beautiful setting. Elegance and finesse.</v>
      </c>
    </row>
    <row r="2593">
      <c r="A2593" s="1">
        <v>5.0</v>
      </c>
      <c r="B2593" s="1" t="s">
        <v>2575</v>
      </c>
      <c r="C2593" t="str">
        <f>IFERROR(__xludf.DUMMYFUNCTION("GOOGLETRANSLATE(B2593, ""fr"", ""en"")"),"perfect but a little punk but alls well laugh a little haircut before the after the placement of the microphone because otherwise appearance of hair on your film because too long hairs laugh Amazon c side is perfect, very serious people")</f>
        <v>perfect but a little punk but alls well laugh a little haircut before the after the placement of the microphone because otherwise appearance of hair on your film because too long hairs laugh Amazon c side is perfect, very serious people</v>
      </c>
    </row>
    <row r="2594">
      <c r="A2594" s="1">
        <v>5.0</v>
      </c>
      <c r="B2594" s="1" t="s">
        <v>2576</v>
      </c>
      <c r="C2594" t="str">
        <f>IFERROR(__xludf.DUMMYFUNCTION("GOOGLETRANSLATE(B2594, ""fr"", ""en"")"),"heavy watch and very beautiful otherwise perfect morning received quickly and very corect prices to offer it to my beautiful father he was very happy and c is a very beautiful climbs I recommend occurs without hesitation really nice shows can heavy if my "&amp;"too too pretty not disappointed")</f>
        <v>heavy watch and very beautiful otherwise perfect morning received quickly and very corect prices to offer it to my beautiful father he was very happy and c is a very beautiful climbs I recommend occurs without hesitation really nice shows can heavy if my too too pretty not disappointed</v>
      </c>
    </row>
    <row r="2595">
      <c r="A2595" s="1">
        <v>5.0</v>
      </c>
      <c r="B2595" s="1" t="s">
        <v>2577</v>
      </c>
      <c r="C2595" t="str">
        <f>IFERROR(__xludf.DUMMYFUNCTION("GOOGLETRANSLATE(B2595, ""fr"", ""en"")"),"Perfect Meets description")</f>
        <v>Perfect Meets description</v>
      </c>
    </row>
    <row r="2596">
      <c r="A2596" s="1">
        <v>5.0</v>
      </c>
      <c r="B2596" s="1" t="s">
        <v>2578</v>
      </c>
      <c r="C2596" t="str">
        <f>IFERROR(__xludf.DUMMYFUNCTION("GOOGLETRANSLATE(B2596, ""fr"", ""en"")"),"Very good and cheap I had a little doubt based on the price, but in reality this foil is very good.")</f>
        <v>Very good and cheap I had a little doubt based on the price, but in reality this foil is very good.</v>
      </c>
    </row>
    <row r="2597">
      <c r="A2597" s="1">
        <v>5.0</v>
      </c>
      <c r="B2597" s="1" t="s">
        <v>2579</v>
      </c>
      <c r="C2597" t="str">
        <f>IFERROR(__xludf.DUMMYFUNCTION("GOOGLETRANSLATE(B2597, ""fr"", ""en"")"),"Good buy Pleasantly surprised, the quality is good and the XL size selected following the advice of the seller for me (I am a 95D with 78 cm chest under the breasts). To sleep I would choose a larger size for comfort. Here I hope that this will serve to f"&amp;"uture clients!")</f>
        <v>Good buy Pleasantly surprised, the quality is good and the XL size selected following the advice of the seller for me (I am a 95D with 78 cm chest under the breasts). To sleep I would choose a larger size for comfort. Here I hope that this will serve to future clients!</v>
      </c>
    </row>
    <row r="2598">
      <c r="A2598" s="1">
        <v>5.0</v>
      </c>
      <c r="B2598" s="1" t="s">
        <v>2580</v>
      </c>
      <c r="C2598" t="str">
        <f>IFERROR(__xludf.DUMMYFUNCTION("GOOGLETRANSLATE(B2598, ""fr"", ""en"")"),"Excellent quality Good quality, good service")</f>
        <v>Excellent quality Good quality, good service</v>
      </c>
    </row>
    <row r="2599">
      <c r="A2599" s="1">
        <v>5.0</v>
      </c>
      <c r="B2599" s="1" t="s">
        <v>2581</v>
      </c>
      <c r="C2599" t="str">
        <f>IFERROR(__xludf.DUMMYFUNCTION("GOOGLETRANSLATE(B2599, ""fr"", ""en"")"),"Sound Quality &amp; amp; I had a comfort Audio Technica ATH-M50 before, and there is clearly a product of the same quality level, see a step up. The space is a problem, the helmet is really huge and I can not imagine myself with a walk. Bass hair too present "&amp;"for a monitoring headphones but this is broadly acceptable. Beware, though it is the most closed headphones Beyerdynamic DT range, it is actually a semi-closed headphones and insulation is too light for my taste. Comfort level, it takes a little hot but i"&amp;"t is clearly one of the most comfortable headphones I've tried.")</f>
        <v>Sound Quality &amp; amp; I had a comfort Audio Technica ATH-M50 before, and there is clearly a product of the same quality level, see a step up. The space is a problem, the helmet is really huge and I can not imagine myself with a walk. Bass hair too present for a monitoring headphones but this is broadly acceptable. Beware, though it is the most closed headphones Beyerdynamic DT range, it is actually a semi-closed headphones and insulation is too light for my taste. Comfort level, it takes a little hot but it is clearly one of the most comfortable headphones I've tried.</v>
      </c>
    </row>
    <row r="2600">
      <c r="A2600" s="1">
        <v>5.0</v>
      </c>
      <c r="B2600" s="1" t="s">
        <v>2582</v>
      </c>
      <c r="C2600" t="str">
        <f>IFERROR(__xludf.DUMMYFUNCTION("GOOGLETRANSLATE(B2600, ""fr"", ""en"")"),"❉ A nice necklace sparkly to wear in all circumstances ❉ This pendant necklace is my second order from B stain with whom I had enjoyed the fine jewelry and finishes. It has a totally different original form. The arches are embellished with shiny and it ha"&amp;"s a beautiful crystal central well entrenched, that does not move, and that gives it a nice finish to the eye. I did not hesitate a second to buy it because I find it very attractive, thin and graceful, may accompany any outfit whether casual or dressed. "&amp;"Its price is also very competitive with other brands. B-stain is more effort to deliver her jewelry in a black cardboard casket that allows the storage and proper course of the offer. The whole is protected by a plastic film (setting collar and inside). T"&amp;"his jewel in silver 925 is thin, graceful, well finished, the little string that accompanies it is elegant, I am very happy. Its price quite competitive lets have fun without breaking the bank or the offer simply through his good looks and nice packaging.")</f>
        <v>❉ A nice necklace sparkly to wear in all circumstances ❉ This pendant necklace is my second order from B stain with whom I had enjoyed the fine jewelry and finishes. It has a totally different original form. The arches are embellished with shiny and it has a beautiful crystal central well entrenched, that does not move, and that gives it a nice finish to the eye. I did not hesitate a second to buy it because I find it very attractive, thin and graceful, may accompany any outfit whether casual or dressed. Its price is also very competitive with other brands. B-stain is more effort to deliver her jewelry in a black cardboard casket that allows the storage and proper course of the offer. The whole is protected by a plastic film (setting collar and inside). This jewel in silver 925 is thin, graceful, well finished, the little string that accompanies it is elegant, I am very happy. Its price quite competitive lets have fun without breaking the bank or the offer simply through his good looks and nice packaging.</v>
      </c>
    </row>
    <row r="2601">
      <c r="A2601" s="1">
        <v>2.0</v>
      </c>
      <c r="B2601" s="1" t="s">
        <v>2583</v>
      </c>
      <c r="C2601" t="str">
        <f>IFERROR(__xludf.DUMMYFUNCTION("GOOGLETRANSLATE(B2601, ""fr"", ""en"")"),"Disappointed I had read rave reviews about this watch, so I ordered. I was really disappointed. Screen ""color"" of very poor quality and very small. Let me explain, do not think for images you might see on the pubs, the resolution is poor, brightness mor"&amp;"e than the limit and low contrast. Suunto would have remained on the monochrome, the quality would have been better. I do not see how with this weakness can be displayed 5 or 6 parameters and see clearly when one runs. Second crippling point for me: Suunt"&amp;"o Movescount. It is impossible from the web interface to plan precise and detailed output. We can only indicate the type of sport, the difficulty and length and that is all. It is only when the session is finished and uploaded to the app it is possible to"&amp;" go into detail! A detailed planning with split, rest time and sequence is not possible in advance. As it is not possible to create a complete program with all the details I mentioned above. Or create it on the watch, you can imagine the time required to "&amp;"output a bit complex. Finally, on the connected part is great to have the notifications of the phone but it does not stay on the screen if you do not play! It therefore disappear after a few moments and if we have missed ben too bad! Better not offer that"&amp;" kind of functionality! Well, apart from that, it's a nice discreet watch that offers many good GPS and a cardio quality a priori. As you can see, I have not had the opportunity to test these key features, I returned pronto.")</f>
        <v>Disappointed I had read rave reviews about this watch, so I ordered. I was really disappointed. Screen "color" of very poor quality and very small. Let me explain, do not think for images you might see on the pubs, the resolution is poor, brightness more than the limit and low contrast. Suunto would have remained on the monochrome, the quality would have been better. I do not see how with this weakness can be displayed 5 or 6 parameters and see clearly when one runs. Second crippling point for me: Suunto Movescount. It is impossible from the web interface to plan precise and detailed output. We can only indicate the type of sport, the difficulty and length and that is all. It is only when the session is finished and uploaded to the app it is possible to go into detail! A detailed planning with split, rest time and sequence is not possible in advance. As it is not possible to create a complete program with all the details I mentioned above. Or create it on the watch, you can imagine the time required to output a bit complex. Finally, on the connected part is great to have the notifications of the phone but it does not stay on the screen if you do not play! It therefore disappear after a few moments and if we have missed ben too bad! Better not offer that kind of functionality! Well, apart from that, it's a nice discreet watch that offers many good GPS and a cardio quality a priori. As you can see, I have not had the opportunity to test these key features, I returned pronto.</v>
      </c>
    </row>
    <row r="2602">
      <c r="A2602" s="1">
        <v>1.0</v>
      </c>
      <c r="B2602" s="1" t="s">
        <v>2584</v>
      </c>
      <c r="C2602" t="str">
        <f>IFERROR(__xludf.DUMMYFUNCTION("GOOGLETRANSLATE(B2602, ""fr"", ""en"")"),"Article too small, no return policy I ordered this polar, but size too small for the size M corresponding to European standards are not met, also plan 2 sizes 3 sizes see above. Crazy. So I asked a return for the fleece size bigger. NOT because they prefe"&amp;"r that you keep the same revendiez you, partly against, to do an order with them and you get a reduction of 15,30 or 40% if you insist on the return of the article. No refund even if fees are your responsibility. Not serious at all, abstain, or else be li"&amp;"ke shrimp and all is well.")</f>
        <v>Article too small, no return policy I ordered this polar, but size too small for the size M corresponding to European standards are not met, also plan 2 sizes 3 sizes see above. Crazy. So I asked a return for the fleece size bigger. NOT because they prefer that you keep the same revendiez you, partly against, to do an order with them and you get a reduction of 15,30 or 40% if you insist on the return of the article. No refund even if fees are your responsibility. Not serious at all, abstain, or else be like shrimp and all is well.</v>
      </c>
    </row>
    <row r="2603">
      <c r="A2603" s="1">
        <v>1.0</v>
      </c>
      <c r="B2603" s="1" t="s">
        <v>2585</v>
      </c>
      <c r="C2603" t="str">
        <f>IFERROR(__xludf.DUMMYFUNCTION("GOOGLETRANSLATE(B2603, ""fr"", ""en"")"),"There must be a problem with the battery Do not work")</f>
        <v>There must be a problem with the battery Do not work</v>
      </c>
    </row>
    <row r="2604">
      <c r="A2604" s="1">
        <v>3.0</v>
      </c>
      <c r="B2604" s="1" t="s">
        <v>2586</v>
      </c>
      <c r="C2604" t="str">
        <f>IFERROR(__xludf.DUMMYFUNCTION("GOOGLETRANSLATE(B2604, ""fr"", ""en"")"),"Perfect comfortable Very comfortable")</f>
        <v>Perfect comfortable Very comfortable</v>
      </c>
    </row>
    <row r="2605">
      <c r="A2605" s="1">
        <v>3.0</v>
      </c>
      <c r="B2605" s="1" t="s">
        <v>2587</v>
      </c>
      <c r="C2605" t="str">
        <f>IFERROR(__xludf.DUMMYFUNCTION("GOOGLETRANSLATE(B2605, ""fr"", ""en"")"),"Pretty dress a little big but with a tank top underneath the case is played")</f>
        <v>Pretty dress a little big but with a tank top underneath the case is played</v>
      </c>
    </row>
    <row r="2606">
      <c r="A2606" s="1">
        <v>4.0</v>
      </c>
      <c r="B2606" s="1" t="s">
        <v>2588</v>
      </c>
      <c r="C2606" t="str">
        <f>IFERROR(__xludf.DUMMYFUNCTION("GOOGLETRANSLATE(B2606, ""fr"", ""en"")"),"Product very sober puma simply")</f>
        <v>Product very sober puma simply</v>
      </c>
    </row>
    <row r="2607">
      <c r="A2607" s="1">
        <v>4.0</v>
      </c>
      <c r="B2607" s="1" t="s">
        <v>2589</v>
      </c>
      <c r="C2607" t="str">
        <f>IFERROR(__xludf.DUMMYFUNCTION("GOOGLETRANSLATE(B2607, ""fr"", ""en"")"),"Impeccable quality level size and quality")</f>
        <v>Impeccable quality level size and quality</v>
      </c>
    </row>
    <row r="2608">
      <c r="A2608" s="1">
        <v>4.0</v>
      </c>
      <c r="B2608" s="1" t="s">
        <v>2590</v>
      </c>
      <c r="C2608" t="str">
        <f>IFERROR(__xludf.DUMMYFUNCTION("GOOGLETRANSLATE(B2608, ""fr"", ""en"")"),"the pictures are beautiful! I think the pictures are very nice but I find not sharp enough to book the age indicated one learns not much .ca does not deserve the title of encyclopedia in my opinion")</f>
        <v>the pictures are beautiful! I think the pictures are very nice but I find not sharp enough to book the age indicated one learns not much .ca does not deserve the title of encyclopedia in my opinion</v>
      </c>
    </row>
    <row r="2609">
      <c r="A2609" s="1">
        <v>4.0</v>
      </c>
      <c r="B2609" s="1" t="s">
        <v>2591</v>
      </c>
      <c r="C2609" t="str">
        <f>IFERROR(__xludf.DUMMYFUNCTION("GOOGLETRANSLATE(B2609, ""fr"", ""en"")"),"Prevent the hand wash the first time .. Very confortable..par against the red should be wash only because it rubs off énormément..sa screw up my sweater 2 ....")</f>
        <v>Prevent the hand wash the first time .. Very confortable..par against the red should be wash only because it rubs off énormément..sa screw up my sweater 2 ....</v>
      </c>
    </row>
    <row r="2610">
      <c r="A2610" s="1">
        <v>5.0</v>
      </c>
      <c r="B2610" s="1" t="s">
        <v>2592</v>
      </c>
      <c r="C2610" t="str">
        <f>IFERROR(__xludf.DUMMYFUNCTION("GOOGLETRANSLATE(B2610, ""fr"", ""en"")"),"Adapter for speaker Bose Fast delivery. Complete adapter for Bose speaker. Well packed.")</f>
        <v>Adapter for speaker Bose Fast delivery. Complete adapter for Bose speaker. Well packed.</v>
      </c>
    </row>
    <row r="2611">
      <c r="A2611" s="1">
        <v>5.0</v>
      </c>
      <c r="B2611" s="1" t="s">
        <v>2593</v>
      </c>
      <c r="C2611" t="str">
        <f>IFERROR(__xludf.DUMMYFUNCTION("GOOGLETRANSLATE(B2611, ""fr"", ""en"")"),"Sophisticated, practical, long battery I was offered headphones unbranded son at Christmas past, but not like this because a wire connected the two earphones. The person who offered me the well thought offering me branded headphones, and I understand that"&amp;", but one year later, the battery and earphones HS does not hold a charge. Forced to listen to with the USB cable permanently connected, convenient wireless headphones. So I took the opportunity to buy sophisticated headsets and inspired all recent headph"&amp;"ones (like AirPods). I'm not disappointed at all. The small case for carrying the headset is compact and makes battery office. I did not need to reload the base one time since I earphones. The sound is good, but not exceptional. These are headphones and n"&amp;"ot a helmet to several hundred euros. More than enough for my use and to listen to my podcasts at night in bed or in transport. They are very discreet and tight fit. The base is magnetized, which allows to replace them headphones eyes closed (useful at ni"&amp;"ght). Only drawback, they emit light constantly, which is light certe, but still disturbing for the partner the night")</f>
        <v>Sophisticated, practical, long battery I was offered headphones unbranded son at Christmas past, but not like this because a wire connected the two earphones. The person who offered me the well thought offering me branded headphones, and I understand that, but one year later, the battery and earphones HS does not hold a charge. Forced to listen to with the USB cable permanently connected, convenient wireless headphones. So I took the opportunity to buy sophisticated headsets and inspired all recent headphones (like AirPods). I'm not disappointed at all. The small case for carrying the headset is compact and makes battery office. I did not need to reload the base one time since I earphones. The sound is good, but not exceptional. These are headphones and not a helmet to several hundred euros. More than enough for my use and to listen to my podcasts at night in bed or in transport. They are very discreet and tight fit. The base is magnetized, which allows to replace them headphones eyes closed (useful at night). Only drawback, they emit light constantly, which is light certe, but still disturbing for the partner the night</v>
      </c>
    </row>
    <row r="2612">
      <c r="A2612" s="1">
        <v>5.0</v>
      </c>
      <c r="B2612" s="1" t="s">
        <v>2594</v>
      </c>
      <c r="C2612" t="str">
        <f>IFERROR(__xludf.DUMMYFUNCTION("GOOGLETRANSLATE(B2612, ""fr"", ""en"")"),"Wonderful Wonderful, THANKS")</f>
        <v>Wonderful Wonderful, THANKS</v>
      </c>
    </row>
    <row r="2613">
      <c r="A2613" s="1">
        <v>5.0</v>
      </c>
      <c r="B2613" s="1" t="s">
        <v>2595</v>
      </c>
      <c r="C2613" t="str">
        <f>IFERROR(__xludf.DUMMYFUNCTION("GOOGLETRANSLATE(B2613, ""fr"", ""en"")"),"BEAU beautiful bracelet and fine for now, I wear it for three weeks")</f>
        <v>BEAU beautiful bracelet and fine for now, I wear it for three weeks</v>
      </c>
    </row>
    <row r="2614">
      <c r="A2614" s="1">
        <v>5.0</v>
      </c>
      <c r="B2614" s="1" t="s">
        <v>2596</v>
      </c>
      <c r="C2614" t="str">
        <f>IFERROR(__xludf.DUMMYFUNCTION("GOOGLETRANSLATE(B2614, ""fr"", ""en"")"),"Absolutely no complaints. I put on the 40 and contrary to what I read, the size absolutely corresponds to that announced, nor too tight nor too large. Very well padded and warm, I only have to wait what happens in time (I just receive them).")</f>
        <v>Absolutely no complaints. I put on the 40 and contrary to what I read, the size absolutely corresponds to that announced, nor too tight nor too large. Very well padded and warm, I only have to wait what happens in time (I just receive them).</v>
      </c>
    </row>
    <row r="2615">
      <c r="A2615" s="1">
        <v>5.0</v>
      </c>
      <c r="B2615" s="1" t="s">
        <v>2597</v>
      </c>
      <c r="C2615" t="str">
        <f>IFERROR(__xludf.DUMMYFUNCTION("GOOGLETRANSLATE(B2615, ""fr"", ""en"")"),"Value for the price, nothing to say, quality, lightweight finish. The size is good. In the summer it's very good")</f>
        <v>Value for the price, nothing to say, quality, lightweight finish. The size is good. In the summer it's very good</v>
      </c>
    </row>
    <row r="2616">
      <c r="A2616" s="1">
        <v>5.0</v>
      </c>
      <c r="B2616" s="1" t="s">
        <v>224</v>
      </c>
      <c r="C2616" t="str">
        <f>IFERROR(__xludf.DUMMYFUNCTION("GOOGLETRANSLATE(B2616, ""fr"", ""en"")"),"perfect perfect")</f>
        <v>perfect perfect</v>
      </c>
    </row>
    <row r="2617">
      <c r="A2617" s="1">
        <v>5.0</v>
      </c>
      <c r="B2617" s="1" t="s">
        <v>2598</v>
      </c>
      <c r="C2617" t="str">
        <f>IFERROR(__xludf.DUMMYFUNCTION("GOOGLETRANSLATE(B2617, ""fr"", ""en"")"),"Pretty cards English cards but conforms to the photo. Pretty colors. No complaints")</f>
        <v>Pretty cards English cards but conforms to the photo. Pretty colors. No complaints</v>
      </c>
    </row>
    <row r="2618">
      <c r="A2618" s="1">
        <v>5.0</v>
      </c>
      <c r="B2618" s="1" t="s">
        <v>2599</v>
      </c>
      <c r="C2618" t="str">
        <f>IFERROR(__xludf.DUMMYFUNCTION("GOOGLETRANSLATE(B2618, ""fr"", ""en"")"),"Späher bag This is a nice article well lined in leather perfect size top finish I recommend nothing more to say")</f>
        <v>Späher bag This is a nice article well lined in leather perfect size top finish I recommend nothing more to say</v>
      </c>
    </row>
    <row r="2619">
      <c r="A2619" s="1">
        <v>5.0</v>
      </c>
      <c r="B2619" s="1" t="s">
        <v>2600</v>
      </c>
      <c r="C2619" t="str">
        <f>IFERROR(__xludf.DUMMYFUNCTION("GOOGLETRANSLATE(B2619, ""fr"", ""en"")"),"must read !!! Super Awesome Book !!! Inspiring for all the little girls who want and need to believe in their dreams! This book tells the journey of 100 women with extraordinary destinies. To provide both girls and boys.")</f>
        <v>must read !!! Super Awesome Book !!! Inspiring for all the little girls who want and need to believe in their dreams! This book tells the journey of 100 women with extraordinary destinies. To provide both girls and boys.</v>
      </c>
    </row>
    <row r="2620">
      <c r="A2620" s="1">
        <v>5.0</v>
      </c>
      <c r="B2620" s="1" t="s">
        <v>2601</v>
      </c>
      <c r="C2620" t="str">
        <f>IFERROR(__xludf.DUMMYFUNCTION("GOOGLETRANSLATE(B2620, ""fr"", ""en"")"),"NECKLACE VERY WELL AND I AM PLEASED THANKS")</f>
        <v>NECKLACE VERY WELL AND I AM PLEASED THANKS</v>
      </c>
    </row>
    <row r="2621">
      <c r="A2621" s="1">
        <v>5.0</v>
      </c>
      <c r="B2621" s="1" t="s">
        <v>2602</v>
      </c>
      <c r="C2621" t="str">
        <f>IFERROR(__xludf.DUMMYFUNCTION("GOOGLETRANSLATE(B2621, ""fr"", ""en"")"),"Perfect Very cute for little twins !!! Convenient to use and good quality. The brand is really good ... After that is a bottle ...")</f>
        <v>Perfect Very cute for little twins !!! Convenient to use and good quality. The brand is really good ... After that is a bottle ...</v>
      </c>
    </row>
    <row r="2622">
      <c r="A2622" s="1">
        <v>5.0</v>
      </c>
      <c r="B2622" s="1" t="s">
        <v>2603</v>
      </c>
      <c r="C2622" t="str">
        <f>IFERROR(__xludf.DUMMYFUNCTION("GOOGLETRANSLATE(B2622, ""fr"", ""en"")"),"Comfortable Super nice, great size with the kinds of air bags walking is super comfortable")</f>
        <v>Comfortable Super nice, great size with the kinds of air bags walking is super comfortable</v>
      </c>
    </row>
    <row r="2623">
      <c r="A2623" s="1">
        <v>5.0</v>
      </c>
      <c r="B2623" s="1" t="s">
        <v>2604</v>
      </c>
      <c r="C2623" t="str">
        <f>IFERROR(__xludf.DUMMYFUNCTION("GOOGLETRANSLATE(B2623, ""fr"", ""en"")"),"design and performance from the wire that is too short forcing to have taken a close superb facilities. be little noisy and very fast. design and more. the price it justified by the quality of the product.")</f>
        <v>design and performance from the wire that is too short forcing to have taken a close superb facilities. be little noisy and very fast. design and more. the price it justified by the quality of the product.</v>
      </c>
    </row>
    <row r="2624">
      <c r="A2624" s="1">
        <v>5.0</v>
      </c>
      <c r="B2624" s="1" t="s">
        <v>2605</v>
      </c>
      <c r="C2624" t="str">
        <f>IFERROR(__xludf.DUMMYFUNCTION("GOOGLETRANSLATE(B2624, ""fr"", ""en"")"),"Perfect to top")</f>
        <v>Perfect to top</v>
      </c>
    </row>
    <row r="2625">
      <c r="A2625" s="1">
        <v>2.0</v>
      </c>
      <c r="B2625" s="1" t="s">
        <v>2606</v>
      </c>
      <c r="C2625" t="str">
        <f>IFERROR(__xludf.DUMMYFUNCTION("GOOGLETRANSLATE(B2625, ""fr"", ""en"")"),"not terrible pain at the plantar arch, and foot heated in this model ... pity they are beautiful to wear well 4h max")</f>
        <v>not terrible pain at the plantar arch, and foot heated in this model ... pity they are beautiful to wear well 4h max</v>
      </c>
    </row>
    <row r="2626">
      <c r="A2626" s="1">
        <v>1.0</v>
      </c>
      <c r="B2626" s="1" t="s">
        <v>2607</v>
      </c>
      <c r="C2626" t="str">
        <f>IFERROR(__xludf.DUMMYFUNCTION("GOOGLETRANSLATE(B2626, ""fr"", ""en"")"),"AMAZON .... Nine is not RECONDITIONE more I order from Amazon .... I end up with more articles refurbished .... Namely packaging and product OPEN .... obviously tested by ... of another user ... I find it misleading from AMAZON ..... I wish I could have t"&amp;"aken advantage of these listener .... but if I recommend with .... what am I still found myself :( very disappointed")</f>
        <v>AMAZON .... Nine is not RECONDITIONE more I order from Amazon .... I end up with more articles refurbished .... Namely packaging and product OPEN .... obviously tested by ... of another user ... I find it misleading from AMAZON ..... I wish I could have taken advantage of these listener .... but if I recommend with .... what am I still found myself :( very disappointed</v>
      </c>
    </row>
    <row r="2627">
      <c r="A2627" s="1">
        <v>1.0</v>
      </c>
      <c r="B2627" s="1" t="s">
        <v>2608</v>
      </c>
      <c r="C2627" t="str">
        <f>IFERROR(__xludf.DUMMYFUNCTION("GOOGLETRANSLATE(B2627, ""fr"", ""en"")"),"Not working Hello, one headset works It is not normal for a new product")</f>
        <v>Not working Hello, one headset works It is not normal for a new product</v>
      </c>
    </row>
    <row r="2628">
      <c r="A2628" s="1">
        <v>3.0</v>
      </c>
      <c r="B2628" s="1" t="s">
        <v>2609</v>
      </c>
      <c r="C2628" t="str">
        <f>IFERROR(__xludf.DUMMYFUNCTION("GOOGLETRANSLATE(B2628, ""fr"", ""en"")"),"Article Poor Article pretty but not good")</f>
        <v>Article Poor Article pretty but not good</v>
      </c>
    </row>
    <row r="2629">
      <c r="A2629" s="1">
        <v>3.0</v>
      </c>
      <c r="B2629" s="1" t="s">
        <v>2610</v>
      </c>
      <c r="C2629" t="str">
        <f>IFERROR(__xludf.DUMMYFUNCTION("GOOGLETRANSLATE(B2629, ""fr"", ""en"")"),"My opinion Good shoes, but heavy and especially do not forget the thick socks")</f>
        <v>My opinion Good shoes, but heavy and especially do not forget the thick socks</v>
      </c>
    </row>
    <row r="2630">
      <c r="A2630" s="1">
        <v>4.0</v>
      </c>
      <c r="B2630" s="1" t="s">
        <v>2611</v>
      </c>
      <c r="C2630" t="str">
        <f>IFERROR(__xludf.DUMMYFUNCTION("GOOGLETRANSLATE(B2630, ""fr"", ""en"")"),"Meets Kettle Beautiful quality. Instant heat with temperature control")</f>
        <v>Meets Kettle Beautiful quality. Instant heat with temperature control</v>
      </c>
    </row>
    <row r="2631">
      <c r="A2631" s="1">
        <v>4.0</v>
      </c>
      <c r="B2631" s="1" t="s">
        <v>2612</v>
      </c>
      <c r="C2631" t="str">
        <f>IFERROR(__xludf.DUMMYFUNCTION("GOOGLETRANSLATE(B2631, ""fr"", ""en"")"),"Although Ras")</f>
        <v>Although Ras</v>
      </c>
    </row>
    <row r="2632">
      <c r="A2632" s="1">
        <v>4.0</v>
      </c>
      <c r="B2632" s="1" t="s">
        <v>2613</v>
      </c>
      <c r="C2632" t="str">
        <f>IFERROR(__xludf.DUMMYFUNCTION("GOOGLETRANSLATE(B2632, ""fr"", ""en"")"),"Kettle Tbien nice, good value for money.")</f>
        <v>Kettle Tbien nice, good value for money.</v>
      </c>
    </row>
    <row r="2633">
      <c r="A2633" s="1">
        <v>4.0</v>
      </c>
      <c r="B2633" s="1" t="s">
        <v>2614</v>
      </c>
      <c r="C2633" t="str">
        <f>IFERROR(__xludf.DUMMYFUNCTION("GOOGLETRANSLATE(B2633, ""fr"", ""en"")"),"reliability humidification")</f>
        <v>reliability humidification</v>
      </c>
    </row>
    <row r="2634">
      <c r="A2634" s="1">
        <v>5.0</v>
      </c>
      <c r="B2634" s="1" t="s">
        <v>2615</v>
      </c>
      <c r="C2634" t="str">
        <f>IFERROR(__xludf.DUMMYFUNCTION("GOOGLETRANSLATE(B2634, ""fr"", ""en"")"),"nickel hiking boots Hiking shoes suitable for all terrain stairs")</f>
        <v>nickel hiking boots Hiking shoes suitable for all terrain stairs</v>
      </c>
    </row>
    <row r="2635">
      <c r="A2635" s="1">
        <v>5.0</v>
      </c>
      <c r="B2635" s="1" t="s">
        <v>2616</v>
      </c>
      <c r="C2635" t="str">
        <f>IFERROR(__xludf.DUMMYFUNCTION("GOOGLETRANSLATE(B2635, ""fr"", ""en"")"),"Superb successful !!!! The ones I like about the product is with John and blazer !! Classroom !!")</f>
        <v>Superb successful !!!! The ones I like about the product is with John and blazer !! Classroom !!</v>
      </c>
    </row>
    <row r="2636">
      <c r="A2636" s="1">
        <v>5.0</v>
      </c>
      <c r="B2636" s="1" t="s">
        <v>2617</v>
      </c>
      <c r="C2636" t="str">
        <f>IFERROR(__xludf.DUMMYFUNCTION("GOOGLETRANSLATE(B2636, ""fr"", ""en"")"),"the confidence birthday gift")</f>
        <v>the confidence birthday gift</v>
      </c>
    </row>
    <row r="2637">
      <c r="A2637" s="1">
        <v>5.0</v>
      </c>
      <c r="B2637" s="1" t="s">
        <v>2618</v>
      </c>
      <c r="C2637" t="str">
        <f>IFERROR(__xludf.DUMMYFUNCTION("GOOGLETRANSLATE(B2637, ""fr"", ""en"")"),"While a good acquisition in line with my expectations. This thermometer is accurate both inside and out. For the outside I advise putting the sheds water. Amazon delivery always on top.")</f>
        <v>While a good acquisition in line with my expectations. This thermometer is accurate both inside and out. For the outside I advise putting the sheds water. Amazon delivery always on top.</v>
      </c>
    </row>
    <row r="2638">
      <c r="A2638" s="1">
        <v>5.0</v>
      </c>
      <c r="B2638" s="1" t="s">
        <v>2619</v>
      </c>
      <c r="C2638" t="str">
        <f>IFERROR(__xludf.DUMMYFUNCTION("GOOGLETRANSLATE(B2638, ""fr"", ""en"")"),"Excelent !!! Delighted with this purchase, I wanted to version 4 for a fast connection with my Great TV, and quick to ""installation. Superb sound quality and the use of buttons on the earpiece of ease. I WILL THE COUNCIL EYES CLOSED !!!")</f>
        <v>Excelent !!! Delighted with this purchase, I wanted to version 4 for a fast connection with my Great TV, and quick to "installation. Superb sound quality and the use of buttons on the earpiece of ease. I WILL THE COUNCIL EYES CLOSED !!!</v>
      </c>
    </row>
    <row r="2639">
      <c r="A2639" s="1">
        <v>5.0</v>
      </c>
      <c r="B2639" s="1" t="s">
        <v>2620</v>
      </c>
      <c r="C2639" t="str">
        <f>IFERROR(__xludf.DUMMYFUNCTION("GOOGLETRANSLATE(B2639, ""fr"", ""en"")"),"it is very good! Fast delivery very good product and good size qualite.La ca keeps you warm. comfortable and soft.")</f>
        <v>it is very good! Fast delivery very good product and good size qualite.La ca keeps you warm. comfortable and soft.</v>
      </c>
    </row>
    <row r="2640">
      <c r="A2640" s="1">
        <v>5.0</v>
      </c>
      <c r="B2640" s="1" t="s">
        <v>2621</v>
      </c>
      <c r="C2640" t="str">
        <f>IFERROR(__xludf.DUMMYFUNCTION("GOOGLETRANSLATE(B2640, ""fr"", ""en"")"),"In the top! Perfect, simple and cute converse all! Just like all converse take a size smaller than your usual size")</f>
        <v>In the top! Perfect, simple and cute converse all! Just like all converse take a size smaller than your usual size</v>
      </c>
    </row>
    <row r="2641">
      <c r="A2641" s="1">
        <v>5.0</v>
      </c>
      <c r="B2641" s="1" t="s">
        <v>2622</v>
      </c>
      <c r="C2641" t="str">
        <f>IFERROR(__xludf.DUMMYFUNCTION("GOOGLETRANSLATE(B2641, ""fr"", ""en"")"),"Top Very nice as gift")</f>
        <v>Top Very nice as gift</v>
      </c>
    </row>
    <row r="2642">
      <c r="A2642" s="1">
        <v>5.0</v>
      </c>
      <c r="B2642" s="1" t="s">
        <v>2623</v>
      </c>
      <c r="C2642" t="str">
        <f>IFERROR(__xludf.DUMMYFUNCTION("GOOGLETRANSLATE(B2642, ""fr"", ""en"")"),"Great ! Beautiful boots I took a half size larger and it was perfect!")</f>
        <v>Great ! Beautiful boots I took a half size larger and it was perfect!</v>
      </c>
    </row>
    <row r="2643">
      <c r="A2643" s="1">
        <v>5.0</v>
      </c>
      <c r="B2643" s="1" t="s">
        <v>2624</v>
      </c>
      <c r="C2643" t="str">
        <f>IFERROR(__xludf.DUMMYFUNCTION("GOOGLETRANSLATE(B2643, ""fr"", ""en"")"),"Cheap for original fast shipping, cheap compared to shops, satisfied.")</f>
        <v>Cheap for original fast shipping, cheap compared to shops, satisfied.</v>
      </c>
    </row>
    <row r="2644">
      <c r="A2644" s="1">
        <v>5.0</v>
      </c>
      <c r="B2644" s="1" t="s">
        <v>2625</v>
      </c>
      <c r="C2644" t="str">
        <f>IFERROR(__xludf.DUMMYFUNCTION("GOOGLETRANSLATE(B2644, ""fr"", ""en"")"),"earrings are beautiful many thanks")</f>
        <v>earrings are beautiful many thanks</v>
      </c>
    </row>
    <row r="2645">
      <c r="A2645" s="1">
        <v>5.0</v>
      </c>
      <c r="B2645" s="1" t="s">
        <v>2626</v>
      </c>
      <c r="C2645" t="str">
        <f>IFERROR(__xludf.DUMMYFUNCTION("GOOGLETRANSLATE(B2645, ""fr"", ""en"")"),"Jacket I already bought this black jacket and I found it so good that I bought a red exactly the same in size as I had already put on another ad requires that we have a little more after I already knew because this kind of product sizes a bit small day if"&amp;" not for the price it is really great")</f>
        <v>Jacket I already bought this black jacket and I found it so good that I bought a red exactly the same in size as I had already put on another ad requires that we have a little more after I already knew because this kind of product sizes a bit small day if not for the price it is really great</v>
      </c>
    </row>
    <row r="2646">
      <c r="A2646" s="1">
        <v>5.0</v>
      </c>
      <c r="B2646" s="1" t="s">
        <v>2627</v>
      </c>
      <c r="C2646" t="str">
        <f>IFERROR(__xludf.DUMMYFUNCTION("GOOGLETRANSLATE(B2646, ""fr"", ""en"")"),"For the price they suit me This is the second time I buy these sneakers, they are comfortable with jeans and they are perfect I recommend")</f>
        <v>For the price they suit me This is the second time I buy these sneakers, they are comfortable with jeans and they are perfect I recommend</v>
      </c>
    </row>
    <row r="2647">
      <c r="A2647" s="1">
        <v>5.0</v>
      </c>
      <c r="B2647" s="1" t="s">
        <v>2628</v>
      </c>
      <c r="C2647" t="str">
        <f>IFERROR(__xludf.DUMMYFUNCTION("GOOGLETRANSLATE(B2647, ""fr"", ""en"")"),"Impeccable aesthetic and ergonomic product as a whole. Baby has no difficulty taking his bottle, very well adapted to the morphology of the hands of little ones. Six Bottles are sent to 3 different sizes each with a teat which allows baby to swallow a min"&amp;"imum air with his meal. A great product for young parents that I highly recommend.")</f>
        <v>Impeccable aesthetic and ergonomic product as a whole. Baby has no difficulty taking his bottle, very well adapted to the morphology of the hands of little ones. Six Bottles are sent to 3 different sizes each with a teat which allows baby to swallow a minimum air with his meal. A great product for young parents that I highly recommend.</v>
      </c>
    </row>
    <row r="2648">
      <c r="A2648" s="1">
        <v>5.0</v>
      </c>
      <c r="B2648" s="1" t="s">
        <v>2629</v>
      </c>
      <c r="C2648" t="str">
        <f>IFERROR(__xludf.DUMMYFUNCTION("GOOGLETRANSLATE(B2648, ""fr"", ""en"")"),"an incredible effect an incredible effect, the first minutes are a little uncomfortable, but it is imperative to persist because the suite is only happiness.")</f>
        <v>an incredible effect an incredible effect, the first minutes are a little uncomfortable, but it is imperative to persist because the suite is only happiness.</v>
      </c>
    </row>
    <row r="2649">
      <c r="A2649" s="1">
        <v>2.0</v>
      </c>
      <c r="B2649" s="1" t="s">
        <v>2630</v>
      </c>
      <c r="C2649" t="str">
        <f>IFERROR(__xludf.DUMMYFUNCTION("GOOGLETRANSLATE(B2649, ""fr"", ""en"")"),"Scotch that does not stick Bought for gift wrapping Christmas I was surprised to have to pick up several packages that opened very quickly after that. Thinking it was a problem of the first roll ... I changed all the same, it does not glue the plastic. He"&amp;" must stick the paper ""classic"" at least I hope so because this is not the case there is a tape that does not stick anything ...")</f>
        <v>Scotch that does not stick Bought for gift wrapping Christmas I was surprised to have to pick up several packages that opened very quickly after that. Thinking it was a problem of the first roll ... I changed all the same, it does not glue the plastic. He must stick the paper "classic" at least I hope so because this is not the case there is a tape that does not stick anything ...</v>
      </c>
    </row>
    <row r="2650">
      <c r="A2650" s="1">
        <v>1.0</v>
      </c>
      <c r="B2650" s="1" t="s">
        <v>2631</v>
      </c>
      <c r="C2650" t="str">
        <f>IFERROR(__xludf.DUMMYFUNCTION("GOOGLETRANSLATE(B2650, ""fr"", ""en"")"),"Very disappointed bracelet bracelets These are break after a week, no calving solid at all. I do not advise buying this product!")</f>
        <v>Very disappointed bracelet bracelets These are break after a week, no calving solid at all. I do not advise buying this product!</v>
      </c>
    </row>
    <row r="2651">
      <c r="A2651" s="1">
        <v>1.0</v>
      </c>
      <c r="B2651" s="1" t="s">
        <v>2632</v>
      </c>
      <c r="C2651" t="str">
        <f>IFERROR(__xludf.DUMMYFUNCTION("GOOGLETRANSLATE(B2651, ""fr"", ""en"")"),"Delivered without headphones Earphones absent of the box!")</f>
        <v>Delivered without headphones Earphones absent of the box!</v>
      </c>
    </row>
    <row r="2652">
      <c r="A2652" s="1">
        <v>3.0</v>
      </c>
      <c r="B2652" s="1" t="s">
        <v>2633</v>
      </c>
      <c r="C2652" t="str">
        <f>IFERROR(__xludf.DUMMYFUNCTION("GOOGLETRANSLATE(B2652, ""fr"", ""en"")"),"Just at the height If the plastic seems good quality gray card it comes into force. If in addition it has a few years, which would justify such a purchase, you have a risk of damage when you return indoors or when you go out for the technical control for "&amp;"example.")</f>
        <v>Just at the height If the plastic seems good quality gray card it comes into force. If in addition it has a few years, which would justify such a purchase, you have a risk of damage when you return indoors or when you go out for the technical control for example.</v>
      </c>
    </row>
    <row r="2653">
      <c r="A2653" s="1">
        <v>4.0</v>
      </c>
      <c r="B2653" s="1" t="s">
        <v>2634</v>
      </c>
      <c r="C2653" t="str">
        <f>IFERROR(__xludf.DUMMYFUNCTION("GOOGLETRANSLATE(B2653, ""fr"", ""en"")"),"Surprised small size of the pleasant texture for xl too just 1.87 m 100 Kilos, in arms over my son just fine too.")</f>
        <v>Surprised small size of the pleasant texture for xl too just 1.87 m 100 Kilos, in arms over my son just fine too.</v>
      </c>
    </row>
    <row r="2654">
      <c r="A2654" s="1">
        <v>4.0</v>
      </c>
      <c r="B2654" s="1" t="s">
        <v>2635</v>
      </c>
      <c r="C2654" t="str">
        <f>IFERROR(__xludf.DUMMYFUNCTION("GOOGLETRANSLATE(B2654, ""fr"", ""en"")"),"Product according article according to the picture. The size is consistent with the requested size, color is also consistent. No complaints")</f>
        <v>Product according article according to the picture. The size is consistent with the requested size, color is also consistent. No complaints</v>
      </c>
    </row>
    <row r="2655">
      <c r="A2655" s="1">
        <v>4.0</v>
      </c>
      <c r="B2655" s="1" t="s">
        <v>2636</v>
      </c>
      <c r="C2655" t="str">
        <f>IFERROR(__xludf.DUMMYFUNCTION("GOOGLETRANSLATE(B2655, ""fr"", ""en"")"),"Although Bon lot. Practice with the box for storage. A small brush for cleaning would not have been too much.")</f>
        <v>Although Bon lot. Practice with the box for storage. A small brush for cleaning would not have been too much.</v>
      </c>
    </row>
    <row r="2656">
      <c r="A2656" s="1">
        <v>4.0</v>
      </c>
      <c r="B2656" s="1" t="s">
        <v>2637</v>
      </c>
      <c r="C2656" t="str">
        <f>IFERROR(__xludf.DUMMYFUNCTION("GOOGLETRANSLATE(B2656, ""fr"", ""en"")"),"satisfied satisfied")</f>
        <v>satisfied satisfied</v>
      </c>
    </row>
    <row r="2657">
      <c r="A2657" s="1">
        <v>5.0</v>
      </c>
      <c r="B2657" s="1" t="s">
        <v>2638</v>
      </c>
      <c r="C2657" t="str">
        <f>IFERROR(__xludf.DUMMYFUNCTION("GOOGLETRANSLATE(B2657, ""fr"", ""en"")"),"Excellent kettle that does not burn the fingers quality product, the reinforcement rubber over the entire height adds security: it does not burn in error trailing his fingers or his hand near the kettle placed on a table. I recommend.")</f>
        <v>Excellent kettle that does not burn the fingers quality product, the reinforcement rubber over the entire height adds security: it does not burn in error trailing his fingers or his hand near the kettle placed on a table. I recommend.</v>
      </c>
    </row>
    <row r="2658">
      <c r="A2658" s="1">
        <v>5.0</v>
      </c>
      <c r="B2658" s="1" t="s">
        <v>2639</v>
      </c>
      <c r="C2658" t="str">
        <f>IFERROR(__xludf.DUMMYFUNCTION("GOOGLETRANSLATE(B2658, ""fr"", ""en"")"),"consistent good value")</f>
        <v>consistent good value</v>
      </c>
    </row>
    <row r="2659">
      <c r="A2659" s="1">
        <v>5.0</v>
      </c>
      <c r="B2659" s="1" t="s">
        <v>2640</v>
      </c>
      <c r="C2659" t="str">
        <f>IFERROR(__xludf.DUMMYFUNCTION("GOOGLETRANSLATE(B2659, ""fr"", ""en"")"),"Very good color pencils I bought these pencils have a wide range of color and I was not disappointed. The mine is oily enough and does not break easily so it is perfect for coloring. The box contains three floors of colored pencils that can be raised than"&amp;"ks to elastic sides and pencils are numbered. It's very useful.")</f>
        <v>Very good color pencils I bought these pencils have a wide range of color and I was not disappointed. The mine is oily enough and does not break easily so it is perfect for coloring. The box contains three floors of colored pencils that can be raised thanks to elastic sides and pencils are numbered. It's very useful.</v>
      </c>
    </row>
    <row r="2660">
      <c r="A2660" s="1">
        <v>5.0</v>
      </c>
      <c r="B2660" s="1" t="s">
        <v>2641</v>
      </c>
      <c r="C2660" t="str">
        <f>IFERROR(__xludf.DUMMYFUNCTION("GOOGLETRANSLATE(B2660, ""fr"", ""en"")"),"Converse all star Bjr and thank you very happy with my command c is exactly what I wanted magnfiques C is perfect to cheer soon")</f>
        <v>Converse all star Bjr and thank you very happy with my command c is exactly what I wanted magnfiques C is perfect to cheer soon</v>
      </c>
    </row>
    <row r="2661">
      <c r="A2661" s="1">
        <v>5.0</v>
      </c>
      <c r="B2661" s="1" t="s">
        <v>2642</v>
      </c>
      <c r="C2661" t="str">
        <f>IFERROR(__xludf.DUMMYFUNCTION("GOOGLETRANSLATE(B2661, ""fr"", ""en"")"),"Very good very good. Product")</f>
        <v>Very good very good. Product</v>
      </c>
    </row>
    <row r="2662">
      <c r="A2662" s="1">
        <v>5.0</v>
      </c>
      <c r="B2662" s="1" t="s">
        <v>2643</v>
      </c>
      <c r="C2662" t="str">
        <f>IFERROR(__xludf.DUMMYFUNCTION("GOOGLETRANSLATE(B2662, ""fr"", ""en"")"),"Perfect Quality / price: excellent! Very nice watch and despite the price does not charm")</f>
        <v>Perfect Quality / price: excellent! Very nice watch and despite the price does not charm</v>
      </c>
    </row>
    <row r="2663">
      <c r="A2663" s="1">
        <v>5.0</v>
      </c>
      <c r="B2663" s="1" t="s">
        <v>2644</v>
      </c>
      <c r="C2663" t="str">
        <f>IFERROR(__xludf.DUMMYFUNCTION("GOOGLETRANSLATE(B2663, ""fr"", ""en"")"),"Softness When one puts this sweater dress, we most want to get out so she is comfortable, soft and warm well with its interior while fleece! It rather large size, oversize model. I recommend for the coming winter.")</f>
        <v>Softness When one puts this sweater dress, we most want to get out so she is comfortable, soft and warm well with its interior while fleece! It rather large size, oversize model. I recommend for the coming winter.</v>
      </c>
    </row>
    <row r="2664">
      <c r="A2664" s="1">
        <v>5.0</v>
      </c>
      <c r="B2664" s="1" t="s">
        <v>2645</v>
      </c>
      <c r="C2664" t="str">
        <f>IFERROR(__xludf.DUMMYFUNCTION("GOOGLETRANSLATE(B2664, ""fr"", ""en"")"),"A super size leggings that although I struggled a bit with leggings before me who were all either too broad at the waist or too tight at the hips. He's dressed perfectly. Very nice color, soft, fine and extensible. I quickly ordered a second!")</f>
        <v>A super size leggings that although I struggled a bit with leggings before me who were all either too broad at the waist or too tight at the hips. He's dressed perfectly. Very nice color, soft, fine and extensible. I quickly ordered a second!</v>
      </c>
    </row>
    <row r="2665">
      <c r="A2665" s="1">
        <v>5.0</v>
      </c>
      <c r="B2665" s="1" t="s">
        <v>2646</v>
      </c>
      <c r="C2665" t="str">
        <f>IFERROR(__xludf.DUMMYFUNCTION("GOOGLETRANSLATE(B2665, ""fr"", ""en"")"),"Headset / Bluetooth headset with Bluetooth headset charging station with a portable charging station. I really like this helmet. Just load the black base, which can also be used to store your headphones, so you can carry them with you. The Bluetooth conne"&amp;"ction to a headset is simple and fast. The quality of listening, sound quality is very good, I am very satisfied. I fear that headphones fall during exercise, but eventually fall and are well adjusted to the ears. I am very pleased with this purchase! ! !")</f>
        <v>Headset / Bluetooth headset with Bluetooth headset charging station with a portable charging station. I really like this helmet. Just load the black base, which can also be used to store your headphones, so you can carry them with you. The Bluetooth connection to a headset is simple and fast. The quality of listening, sound quality is very good, I am very satisfied. I fear that headphones fall during exercise, but eventually fall and are well adjusted to the ears. I am very pleased with this purchase! ! !</v>
      </c>
    </row>
    <row r="2666">
      <c r="A2666" s="1">
        <v>5.0</v>
      </c>
      <c r="B2666" s="1" t="s">
        <v>2647</v>
      </c>
      <c r="C2666" t="str">
        <f>IFERROR(__xludf.DUMMYFUNCTION("GOOGLETRANSLATE(B2666, ""fr"", ""en"")"),"Finally some good Super Glue")</f>
        <v>Finally some good Super Glue</v>
      </c>
    </row>
    <row r="2667">
      <c r="A2667" s="1">
        <v>5.0</v>
      </c>
      <c r="B2667" s="1" t="s">
        <v>2648</v>
      </c>
      <c r="C2667" t="str">
        <f>IFERROR(__xludf.DUMMYFUNCTION("GOOGLETRANSLATE(B2667, ""fr"", ""en"")"),"Already won! Very nice bottle, solid and comfortable grip! Received on time!")</f>
        <v>Already won! Very nice bottle, solid and comfortable grip! Received on time!</v>
      </c>
    </row>
    <row r="2668">
      <c r="A2668" s="1">
        <v>5.0</v>
      </c>
      <c r="B2668" s="1" t="s">
        <v>2649</v>
      </c>
      <c r="C2668" t="str">
        <f>IFERROR(__xludf.DUMMYFUNCTION("GOOGLETRANSLATE(B2668, ""fr"", ""en"")"),"PERFECT long time I was looking for good support sports bra for my large chest and I heard a lot about Anita brand. So I wanted to try and I am not disappointed! This model (momentum) is perfect. I ordered my usual size and it's going very well. The bra i"&amp;"s made: within the caps is very soft; elastic straps and back do not scratch and do not harm the skin; the elastic under the breast does not roll; it absorbs sweat well (sorry for this detail but it matters because we do sport!). As to maintain it's just "&amp;"great. I really recommend it!")</f>
        <v>PERFECT long time I was looking for good support sports bra for my large chest and I heard a lot about Anita brand. So I wanted to try and I am not disappointed! This model (momentum) is perfect. I ordered my usual size and it's going very well. The bra is made: within the caps is very soft; elastic straps and back do not scratch and do not harm the skin; the elastic under the breast does not roll; it absorbs sweat well (sorry for this detail but it matters because we do sport!). As to maintain it's just great. I really recommend it!</v>
      </c>
    </row>
    <row r="2669">
      <c r="A2669" s="1">
        <v>5.0</v>
      </c>
      <c r="B2669" s="1" t="s">
        <v>2650</v>
      </c>
      <c r="C2669" t="str">
        <f>IFERROR(__xludf.DUMMYFUNCTION("GOOGLETRANSLATE(B2669, ""fr"", ""en"")"),"Perfect Very good XLR. Used to connect an audio processor has a professional amplifier, the sound is nickel. No breath and looks solid. Happy with my purchase")</f>
        <v>Perfect Very good XLR. Used to connect an audio processor has a professional amplifier, the sound is nickel. No breath and looks solid. Happy with my purchase</v>
      </c>
    </row>
    <row r="2670">
      <c r="A2670" s="1">
        <v>5.0</v>
      </c>
      <c r="B2670" s="1" t="s">
        <v>2651</v>
      </c>
      <c r="C2670" t="str">
        <f>IFERROR(__xludf.DUMMYFUNCTION("GOOGLETRANSLATE(B2670, ""fr"", ""en"")"),"Top Very practical and easy to clean.")</f>
        <v>Top Very practical and easy to clean.</v>
      </c>
    </row>
    <row r="2671">
      <c r="A2671" s="1">
        <v>5.0</v>
      </c>
      <c r="B2671" s="1" t="s">
        <v>2652</v>
      </c>
      <c r="C2671" t="str">
        <f>IFERROR(__xludf.DUMMYFUNCTION("GOOGLETRANSLATE(B2671, ""fr"", ""en"")"),"R.A.S. Done the job on a Samson Meteor Mic anything more to say on a windshield. She did not tear during installation and foam appears ""generous"" I am satisfied")</f>
        <v>R.A.S. Done the job on a Samson Meteor Mic anything more to say on a windshield. She did not tear during installation and foam appears "generous" I am satisfied</v>
      </c>
    </row>
    <row r="2672">
      <c r="A2672" s="1">
        <v>2.0</v>
      </c>
      <c r="B2672" s="1" t="s">
        <v>2653</v>
      </c>
      <c r="C2672" t="str">
        <f>IFERROR(__xludf.DUMMYFUNCTION("GOOGLETRANSLATE(B2672, ""fr"", ""en"")"),"Device noisily This kettle emits a very loud noise, extensively cover the sound of the radio or television. We really feel that it will take off without knowing the cause! ... It's incomprehensible ... Although it heats well and fast, I decided to go back"&amp;" to my old kettle! ...")</f>
        <v>Device noisily This kettle emits a very loud noise, extensively cover the sound of the radio or television. We really feel that it will take off without knowing the cause! ... It's incomprehensible ... Although it heats well and fast, I decided to go back to my old kettle! ...</v>
      </c>
    </row>
    <row r="2673">
      <c r="A2673" s="1">
        <v>1.0</v>
      </c>
      <c r="B2673" s="1" t="s">
        <v>2654</v>
      </c>
      <c r="C2673" t="str">
        <f>IFERROR(__xludf.DUMMYFUNCTION("GOOGLETRANSLATE(B2673, ""fr"", ""en"")"),"Extremely Disappointed extremely disappointed with these Tongs, the clip right just let me go. In reading the comments it seems that this is a manufacturing defect or a fault caché.Mes Sandals Timberland had held Five Years.")</f>
        <v>Extremely Disappointed extremely disappointed with these Tongs, the clip right just let me go. In reading the comments it seems that this is a manufacturing defect or a fault caché.Mes Sandals Timberland had held Five Years.</v>
      </c>
    </row>
    <row r="2674">
      <c r="A2674" s="1">
        <v>3.0</v>
      </c>
      <c r="B2674" s="1" t="s">
        <v>2655</v>
      </c>
      <c r="C2674" t="str">
        <f>IFERROR(__xludf.DUMMYFUNCTION("GOOGLETRANSLATE(B2674, ""fr"", ""en"")"),"Okay Good pair of headphones, is slow to arrive as tt products from Asia, and for the time (2 months of use) nothing to report any works like the original earphones UPDATE 15/02/2017: the headphones do not work anymore, suddenly they have held 4 months fo"&amp;"r the price they have been helpful but I would not recommend this more.")</f>
        <v>Okay Good pair of headphones, is slow to arrive as tt products from Asia, and for the time (2 months of use) nothing to report any works like the original earphones UPDATE 15/02/2017: the headphones do not work anymore, suddenly they have held 4 months for the price they have been helpful but I would not recommend this more.</v>
      </c>
    </row>
    <row r="2675">
      <c r="A2675" s="1">
        <v>3.0</v>
      </c>
      <c r="B2675" s="1" t="s">
        <v>2656</v>
      </c>
      <c r="C2675" t="str">
        <f>IFERROR(__xludf.DUMMYFUNCTION("GOOGLETRANSLATE(B2675, ""fr"", ""en"")"),"PAT SIZE 89 SIZE OVER THE EQUAL XL")</f>
        <v>PAT SIZE 89 SIZE OVER THE EQUAL XL</v>
      </c>
    </row>
    <row r="2676">
      <c r="A2676" s="1">
        <v>4.0</v>
      </c>
      <c r="B2676" s="1" t="s">
        <v>2657</v>
      </c>
      <c r="C2676" t="str">
        <f>IFERROR(__xludf.DUMMYFUNCTION("GOOGLETRANSLATE(B2676, ""fr"", ""en"")"),"Corresponds I made a size 39 so I took the 39/42 size socks are a bit large")</f>
        <v>Corresponds I made a size 39 so I took the 39/42 size socks are a bit large</v>
      </c>
    </row>
    <row r="2677">
      <c r="A2677" s="1">
        <v>4.0</v>
      </c>
      <c r="B2677" s="1" t="s">
        <v>2658</v>
      </c>
      <c r="C2677" t="str">
        <f>IFERROR(__xludf.DUMMYFUNCTION("GOOGLETRANSLATE(B2677, ""fr"", ""en"")"),"Super good product headset with good sound practical and lightweight nothing to say 👍 value for money and very good quality")</f>
        <v>Super good product headset with good sound practical and lightweight nothing to say 👍 value for money and very good quality</v>
      </c>
    </row>
    <row r="2678">
      <c r="A2678" s="1">
        <v>4.0</v>
      </c>
      <c r="B2678" s="1" t="s">
        <v>2659</v>
      </c>
      <c r="C2678" t="str">
        <f>IFERROR(__xludf.DUMMYFUNCTION("GOOGLETRANSLATE(B2678, ""fr"", ""en"")"),"Great product with few flaws to easily print your photos, it is perfect, however, some negatives exist: - printing from a computer can cause problems, particularly since the MacOS or the print size is not well catered for - the pictures with deep blacks w"&amp;"ill not be printed with sufficient contrast, it is the process of sublimation which it seems to me, does not give enough contrast because of its colorization in RGB mode. A black support would undoubtedly welcome. - the supply is ultimately rather cheap, "&amp;"but a shame it is not ecological .. after use, there are no planned recycling program, and the cassettes are all plastic ...")</f>
        <v>Great product with few flaws to easily print your photos, it is perfect, however, some negatives exist: - printing from a computer can cause problems, particularly since the MacOS or the print size is not well catered for - the pictures with deep blacks will not be printed with sufficient contrast, it is the process of sublimation which it seems to me, does not give enough contrast because of its colorization in RGB mode. A black support would undoubtedly welcome. - the supply is ultimately rather cheap, but a shame it is not ecological .. after use, there are no planned recycling program, and the cassettes are all plastic ...</v>
      </c>
    </row>
    <row r="2679">
      <c r="A2679" s="1">
        <v>4.0</v>
      </c>
      <c r="B2679" s="1" t="s">
        <v>2660</v>
      </c>
      <c r="C2679" t="str">
        <f>IFERROR(__xludf.DUMMYFUNCTION("GOOGLETRANSLATE(B2679, ""fr"", ""en"")"),"Light Larger than I thought but nice and light.")</f>
        <v>Light Larger than I thought but nice and light.</v>
      </c>
    </row>
    <row r="2680">
      <c r="A2680" s="1">
        <v>5.0</v>
      </c>
      <c r="B2680" s="1" t="s">
        <v>2661</v>
      </c>
      <c r="C2680" t="str">
        <f>IFERROR(__xludf.DUMMYFUNCTION("GOOGLETRANSLATE(B2680, ""fr"", ""en"")"),"Perfect Very convenient")</f>
        <v>Perfect Very convenient</v>
      </c>
    </row>
    <row r="2681">
      <c r="A2681" s="1">
        <v>5.0</v>
      </c>
      <c r="B2681" s="1" t="s">
        <v>2662</v>
      </c>
      <c r="C2681" t="str">
        <f>IFERROR(__xludf.DUMMYFUNCTION("GOOGLETRANSLATE(B2681, ""fr"", ""en"")"),"Very well presented in a beautiful box to offer")</f>
        <v>Very well presented in a beautiful box to offer</v>
      </c>
    </row>
    <row r="2682">
      <c r="A2682" s="1">
        <v>5.0</v>
      </c>
      <c r="B2682" s="1" t="s">
        <v>2663</v>
      </c>
      <c r="C2682" t="str">
        <f>IFERROR(__xludf.DUMMYFUNCTION("GOOGLETRANSLATE(B2682, ""fr"", ""en"")"),"Very comfortable Taillant of 46, I took the 46-48 level and it is perfect size. They are very comfortable to wear, not too thick, so suitable for summer or mid season. Back on the ankle just what it takes. Brief for 2nd / pair (on the set of 6), I can onl"&amp;"y recommend!")</f>
        <v>Very comfortable Taillant of 46, I took the 46-48 level and it is perfect size. They are very comfortable to wear, not too thick, so suitable for summer or mid season. Back on the ankle just what it takes. Brief for 2nd / pair (on the set of 6), I can only recommend!</v>
      </c>
    </row>
    <row r="2683">
      <c r="A2683" s="1">
        <v>5.0</v>
      </c>
      <c r="B2683" s="1" t="s">
        <v>2664</v>
      </c>
      <c r="C2683" t="str">
        <f>IFERROR(__xludf.DUMMYFUNCTION("GOOGLETRANSLATE(B2683, ""fr"", ""en"")"),"Genial Micro on top super fast connection product which I highly recommend")</f>
        <v>Genial Micro on top super fast connection product which I highly recommend</v>
      </c>
    </row>
    <row r="2684">
      <c r="A2684" s="1">
        <v>5.0</v>
      </c>
      <c r="B2684" s="1" t="s">
        <v>2665</v>
      </c>
      <c r="C2684" t="str">
        <f>IFERROR(__xludf.DUMMYFUNCTION("GOOGLETRANSLATE(B2684, ""fr"", ""en"")"),"Very nice pendant Bought for a gift. Elegant and end. I recommend!")</f>
        <v>Very nice pendant Bought for a gift. Elegant and end. I recommend!</v>
      </c>
    </row>
    <row r="2685">
      <c r="A2685" s="1">
        <v>5.0</v>
      </c>
      <c r="B2685" s="1" t="s">
        <v>2666</v>
      </c>
      <c r="C2685" t="str">
        <f>IFERROR(__xludf.DUMMYFUNCTION("GOOGLETRANSLATE(B2685, ""fr"", ""en"")"),"Very satisfied Disassembly and cleaning easier.")</f>
        <v>Very satisfied Disassembly and cleaning easier.</v>
      </c>
    </row>
    <row r="2686">
      <c r="A2686" s="1">
        <v>5.0</v>
      </c>
      <c r="B2686" s="1" t="s">
        <v>2667</v>
      </c>
      <c r="C2686" t="str">
        <f>IFERROR(__xludf.DUMMYFUNCTION("GOOGLETRANSLATE(B2686, ""fr"", ""en"")"),"GOOD Good material. Essential for powering condenser microphones. The result is very good at sound reproduction perspective.")</f>
        <v>GOOD Good material. Essential for powering condenser microphones. The result is very good at sound reproduction perspective.</v>
      </c>
    </row>
    <row r="2687">
      <c r="A2687" s="1">
        <v>5.0</v>
      </c>
      <c r="B2687" s="1" t="s">
        <v>2668</v>
      </c>
      <c r="C2687" t="str">
        <f>IFERROR(__xludf.DUMMYFUNCTION("GOOGLETRANSLATE(B2687, ""fr"", ""en"")"),"Best The bag comes in a plastic bag without embellishment or tissue paper. The quality of fabric, velcro, zippers is undeniable. Its design is very good. There are many pockets of sufficient size that can store many accessories in a fairly small space. I "&amp;"ranks a 12.6-inch tablet, mouse, cables, a power supply, an A4 notebook and there is still room. I recommend this article.")</f>
        <v>Best The bag comes in a plastic bag without embellishment or tissue paper. The quality of fabric, velcro, zippers is undeniable. Its design is very good. There are many pockets of sufficient size that can store many accessories in a fairly small space. I ranks a 12.6-inch tablet, mouse, cables, a power supply, an A4 notebook and there is still room. I recommend this article.</v>
      </c>
    </row>
    <row r="2688">
      <c r="A2688" s="1">
        <v>5.0</v>
      </c>
      <c r="B2688" s="1" t="s">
        <v>2669</v>
      </c>
      <c r="C2688" t="str">
        <f>IFERROR(__xludf.DUMMYFUNCTION("GOOGLETRANSLATE(B2688, ""fr"", ""en"")"),"look classy !!! Shows very swanky ... you can wear whatever dress, sport or classic. The materials used for both the dial, which for the bracelet, are quality and finish is top ... Good quality / price ratio. so OK")</f>
        <v>look classy !!! Shows very swanky ... you can wear whatever dress, sport or classic. The materials used for both the dial, which for the bracelet, are quality and finish is top ... Good quality / price ratio. so OK</v>
      </c>
    </row>
    <row r="2689">
      <c r="A2689" s="1">
        <v>5.0</v>
      </c>
      <c r="B2689" s="1" t="s">
        <v>2670</v>
      </c>
      <c r="C2689" t="str">
        <f>IFERROR(__xludf.DUMMYFUNCTION("GOOGLETRANSLATE(B2689, ""fr"", ""en"")"),"Perfect! The Advent brand remains our leading brand for baby bottles. In these bottles, Advent has amended the form of the nipple, which is more like the shape of the breast of the mother. The feeding is done well, and baby does not swallow too much air. "&amp;"It is very good. The only thing that would make the perfect bottle for us is that they are glass, although now all bottles are free of toxic materials. Teats in rab, pacifier and brush are more in a birth kit.")</f>
        <v>Perfect! The Advent brand remains our leading brand for baby bottles. In these bottles, Advent has amended the form of the nipple, which is more like the shape of the breast of the mother. The feeding is done well, and baby does not swallow too much air. It is very good. The only thing that would make the perfect bottle for us is that they are glass, although now all bottles are free of toxic materials. Teats in rab, pacifier and brush are more in a birth kit.</v>
      </c>
    </row>
    <row r="2690">
      <c r="A2690" s="1">
        <v>5.0</v>
      </c>
      <c r="B2690" s="1" t="s">
        <v>2671</v>
      </c>
      <c r="C2690" t="str">
        <f>IFERROR(__xludf.DUMMYFUNCTION("GOOGLETRANSLATE(B2690, ""fr"", ""en"")"),"Good buy I am very satisfied with my purchase. The article is very good, the finishes are recommended soignées.je this article.")</f>
        <v>Good buy I am very satisfied with my purchase. The article is very good, the finishes are recommended soignées.je this article.</v>
      </c>
    </row>
    <row r="2691">
      <c r="A2691" s="1">
        <v>5.0</v>
      </c>
      <c r="B2691" s="1" t="s">
        <v>2672</v>
      </c>
      <c r="C2691" t="str">
        <f>IFERROR(__xludf.DUMMYFUNCTION("GOOGLETRANSLATE(B2691, ""fr"", ""en"")"),"Too good to be comfortable")</f>
        <v>Too good to be comfortable</v>
      </c>
    </row>
    <row r="2692">
      <c r="A2692" s="1">
        <v>5.0</v>
      </c>
      <c r="B2692" s="1" t="s">
        <v>2673</v>
      </c>
      <c r="C2692" t="str">
        <f>IFERROR(__xludf.DUMMYFUNCTION("GOOGLETRANSLATE(B2692, ""fr"", ""en"")"),"Converse with shoe beautiful and just, good quality and very good value for money. What happiness !! Very nice product !! they just Shoe. Beautiful quality black leather easy to clean. It is located dedans.on large sizes.")</f>
        <v>Converse with shoe beautiful and just, good quality and very good value for money. What happiness !! Very nice product !! they just Shoe. Beautiful quality black leather easy to clean. It is located dedans.on large sizes.</v>
      </c>
    </row>
    <row r="2693">
      <c r="A2693" s="1">
        <v>5.0</v>
      </c>
      <c r="B2693" s="1" t="s">
        <v>2674</v>
      </c>
      <c r="C2693" t="str">
        <f>IFERROR(__xludf.DUMMYFUNCTION("GOOGLETRANSLATE(B2693, ""fr"", ""en"")"),"DRAINED-bottles convenient and simple use. great article I recommend")</f>
        <v>DRAINED-bottles convenient and simple use. great article I recommend</v>
      </c>
    </row>
    <row r="2694">
      <c r="A2694" s="1">
        <v>5.0</v>
      </c>
      <c r="B2694" s="1" t="s">
        <v>2675</v>
      </c>
      <c r="C2694" t="str">
        <f>IFERROR(__xludf.DUMMYFUNCTION("GOOGLETRANSLATE(B2694, ""fr"", ""en"")"),"Perfect Great jacket, good size, good quality can be worn for sport or even with jeans for every day.")</f>
        <v>Perfect Great jacket, good size, good quality can be worn for sport or even with jeans for every day.</v>
      </c>
    </row>
    <row r="2695">
      <c r="A2695" s="1">
        <v>2.0</v>
      </c>
      <c r="B2695" s="1" t="s">
        <v>2676</v>
      </c>
      <c r="C2695" t="str">
        <f>IFERROR(__xludf.DUMMYFUNCTION("GOOGLETRANSLATE(B2695, ""fr"", ""en"")"),"Beautiful bag, but fragile closure system this somewhat reluctantly I put 2 stars this bag. Overall, it is really good and I find it aesthetically very nice. However, the closure system is far too fragile and irreparable. The two closure eclipses are each"&amp;" provided with a metal spring in the form of a metal arc wedged inside the binding. However, these are not fixed but simply kept very approximately because it is slightly wider than the opening. So it has not missed, I lost a spring and a two fasteners no"&amp;" longer close.")</f>
        <v>Beautiful bag, but fragile closure system this somewhat reluctantly I put 2 stars this bag. Overall, it is really good and I find it aesthetically very nice. However, the closure system is far too fragile and irreparable. The two closure eclipses are each provided with a metal spring in the form of a metal arc wedged inside the binding. However, these are not fixed but simply kept very approximately because it is slightly wider than the opening. So it has not missed, I lost a spring and a two fasteners no longer close.</v>
      </c>
    </row>
    <row r="2696">
      <c r="A2696" s="1">
        <v>1.0</v>
      </c>
      <c r="B2696" s="1" t="s">
        <v>2677</v>
      </c>
      <c r="C2696" t="str">
        <f>IFERROR(__xludf.DUMMYFUNCTION("GOOGLETRANSLATE(B2696, ""fr"", ""en"")"),"Plastic Material Received this pair of Puma Basketball 29 April 2019. The material is plastic! (leather Other supposedly) and non-leather as the description says when buying, can be seen on the label at of the tab that this product Get of China (Made in C"&amp;"hina) .and deformation of the right heel within 10 minutes followed. Quality not to go. At that price had suspected it ... But I brought this pair of basketball in two stores specialized brands, the first store was a big doubt about the material and the s"&amp;"econd store my well comfirmé he sagissait material that was not leather!, So no state of mind for me ... So back to this pair of Puma Basketball. Congratulations Amazon !. (Here is the link of a true authentic pair of sneakers Puma Classic LFS, for 10 eur"&amp;"os more, depending on the size!.) Https://www.amazon.fr/gp/product/B00HRAAZM4/ref=ppx_yo_dt_b_asin_title_o02_s00?ie = UTF8 &amp; amp; = 1 psc Ben")</f>
        <v>Plastic Material Received this pair of Puma Basketball 29 April 2019. The material is plastic! (leather Other supposedly) and non-leather as the description says when buying, can be seen on the label at of the tab that this product Get of China (Made in China) .and deformation of the right heel within 10 minutes followed. Quality not to go. At that price had suspected it ... But I brought this pair of basketball in two stores specialized brands, the first store was a big doubt about the material and the second store my well comfirmé he sagissait material that was not leather!, So no state of mind for me ... So back to this pair of Puma Basketball. Congratulations Amazon !. (Here is the link of a true authentic pair of sneakers Puma Classic LFS, for 10 euros more, depending on the size!.) Https://www.amazon.fr/gp/product/B00HRAAZM4/ref=ppx_yo_dt_b_asin_title_o02_s00?ie = UTF8 &amp; amp; = 1 psc Ben</v>
      </c>
    </row>
    <row r="2697">
      <c r="A2697" s="1">
        <v>1.0</v>
      </c>
      <c r="B2697" s="1" t="s">
        <v>2678</v>
      </c>
      <c r="C2697" t="str">
        <f>IFERROR(__xludf.DUMMYFUNCTION("GOOGLETRANSLATE(B2697, ""fr"", ""en"")"),"Microphone does not work on the second generation Micro is not working and the problem is recurring. Support for Beyerdynamic replies that he must turn and push hard ... Funny response ... but it does not change suddenly it's a return for me despite it be"&amp;"ing comfortable and a good sound I'm disappointed that mark. How can we make the micro unusable 300 € ??? Fortunately there is a good service like Amazon.")</f>
        <v>Microphone does not work on the second generation Micro is not working and the problem is recurring. Support for Beyerdynamic replies that he must turn and push hard ... Funny response ... but it does not change suddenly it's a return for me despite it being comfortable and a good sound I'm disappointed that mark. How can we make the micro unusable 300 € ??? Fortunately there is a good service like Amazon.</v>
      </c>
    </row>
    <row r="2698">
      <c r="A2698" s="1">
        <v>3.0</v>
      </c>
      <c r="B2698" s="1" t="s">
        <v>2679</v>
      </c>
      <c r="C2698" t="str">
        <f>IFERROR(__xludf.DUMMYFUNCTION("GOOGLETRANSLATE(B2698, ""fr"", ""en"")"),"Little better I'll tell you that for the price you can not complain. But do not do taff. My helmet is too large therefore obliged to add foam. I do not recommend for people with large and big headphones")</f>
        <v>Little better I'll tell you that for the price you can not complain. But do not do taff. My helmet is too large therefore obliged to add foam. I do not recommend for people with large and big headphones</v>
      </c>
    </row>
    <row r="2699">
      <c r="A2699" s="1">
        <v>3.0</v>
      </c>
      <c r="B2699" s="1" t="s">
        <v>2680</v>
      </c>
      <c r="C2699" t="str">
        <f>IFERROR(__xludf.DUMMYFUNCTION("GOOGLETRANSLATE(B2699, ""fr"", ""en"")"),"pretty in the picture it is likely that the stone is slightly translucent, with gold sequins, but in real life it is not so !! Stone is a nice blue but opaque and without any gold sequins c.est damage, nice single ring all the same ..")</f>
        <v>pretty in the picture it is likely that the stone is slightly translucent, with gold sequins, but in real life it is not so !! Stone is a nice blue but opaque and without any gold sequins c.est damage, nice single ring all the same ..</v>
      </c>
    </row>
    <row r="2700">
      <c r="A2700" s="1">
        <v>4.0</v>
      </c>
      <c r="B2700" s="1" t="s">
        <v>2681</v>
      </c>
      <c r="C2700" t="str">
        <f>IFERROR(__xludf.DUMMYFUNCTION("GOOGLETRANSLATE(B2700, ""fr"", ""en"")"),"The gentle wake alarm clock in the morning gently. Progressive and several possibilities of light intensity. It takes several days to settle it according to our desires. Radio not good.")</f>
        <v>The gentle wake alarm clock in the morning gently. Progressive and several possibilities of light intensity. It takes several days to settle it according to our desires. Radio not good.</v>
      </c>
    </row>
    <row r="2701">
      <c r="A2701" s="1">
        <v>4.0</v>
      </c>
      <c r="B2701" s="1" t="s">
        <v>2682</v>
      </c>
      <c r="C2701" t="str">
        <f>IFERROR(__xludf.DUMMYFUNCTION("GOOGLETRANSLATE(B2701, ""fr"", ""en"")"),"thanks to the economic side ""hyper-focused"" Timeless, Cajoline coaxes baby skin. And no surprises please !!! So .... I validate and recommend.")</f>
        <v>thanks to the economic side "hyper-focused" Timeless, Cajoline coaxes baby skin. And no surprises please !!! So .... I validate and recommend.</v>
      </c>
    </row>
    <row r="2702">
      <c r="A2702" s="1">
        <v>4.0</v>
      </c>
      <c r="B2702" s="1" t="s">
        <v>2683</v>
      </c>
      <c r="C2702" t="str">
        <f>IFERROR(__xludf.DUMMYFUNCTION("GOOGLETRANSLATE(B2702, ""fr"", ""en"")"),"Not disappointed but this bra keeps well my D cup, but I can still not be used alone for sports to ""bounce"", the material is tough and inelastic enabling better maintenance I find, I advise you to take your usual size")</f>
        <v>Not disappointed but this bra keeps well my D cup, but I can still not be used alone for sports to "bounce", the material is tough and inelastic enabling better maintenance I find, I advise you to take your usual size</v>
      </c>
    </row>
    <row r="2703">
      <c r="A2703" s="1">
        <v>4.0</v>
      </c>
      <c r="B2703" s="1" t="s">
        <v>2684</v>
      </c>
      <c r="C2703" t="str">
        <f>IFERROR(__xludf.DUMMYFUNCTION("GOOGLETRANSLATE(B2703, ""fr"", ""en"")"),"beautiful shoes and comfortable shoes very comfortable and pleasant to wear")</f>
        <v>beautiful shoes and comfortable shoes very comfortable and pleasant to wear</v>
      </c>
    </row>
    <row r="2704">
      <c r="A2704" s="1">
        <v>5.0</v>
      </c>
      <c r="B2704" s="1" t="s">
        <v>2685</v>
      </c>
      <c r="C2704" t="str">
        <f>IFERROR(__xludf.DUMMYFUNCTION("GOOGLETRANSLATE(B2704, ""fr"", ""en"")"),"Pretty bracelets This is my gift for mom. A beautiful bracelette ... My mother adores this gift.")</f>
        <v>Pretty bracelets This is my gift for mom. A beautiful bracelette ... My mother adores this gift.</v>
      </c>
    </row>
    <row r="2705">
      <c r="A2705" s="1">
        <v>5.0</v>
      </c>
      <c r="B2705" s="1" t="s">
        <v>2686</v>
      </c>
      <c r="C2705" t="str">
        <f>IFERROR(__xludf.DUMMYFUNCTION("GOOGLETRANSLATE(B2705, ""fr"", ""en"")"),"Very good choice Helmet received on time. Used for listening to music and videos. It can be easily connected, the connection is stable. In summary it meets my expectations.")</f>
        <v>Very good choice Helmet received on time. Used for listening to music and videos. It can be easily connected, the connection is stable. In summary it meets my expectations.</v>
      </c>
    </row>
    <row r="2706">
      <c r="A2706" s="1">
        <v>5.0</v>
      </c>
      <c r="B2706" s="1" t="s">
        <v>2687</v>
      </c>
      <c r="C2706" t="str">
        <f>IFERROR(__xludf.DUMMYFUNCTION("GOOGLETRANSLATE(B2706, ""fr"", ""en"")"),"Bag Complies photo, large and practical")</f>
        <v>Bag Complies photo, large and practical</v>
      </c>
    </row>
    <row r="2707">
      <c r="A2707" s="1">
        <v>5.0</v>
      </c>
      <c r="B2707" s="1" t="s">
        <v>2688</v>
      </c>
      <c r="C2707" t="str">
        <f>IFERROR(__xludf.DUMMYFUNCTION("GOOGLETRANSLATE(B2707, ""fr"", ""en"")"),"Compliant product. I work in hospital environment fit and comfortable as usual. I put on the 40 but fangs I always take a size below.")</f>
        <v>Compliant product. I work in hospital environment fit and comfortable as usual. I put on the 40 but fangs I always take a size below.</v>
      </c>
    </row>
    <row r="2708">
      <c r="A2708" s="1">
        <v>5.0</v>
      </c>
      <c r="B2708" s="1" t="s">
        <v>2689</v>
      </c>
      <c r="C2708" t="str">
        <f>IFERROR(__xludf.DUMMYFUNCTION("GOOGLETRANSLATE(B2708, ""fr"", ""en"")"),"Fast delivery and careful flawless is impeccable. my son will be able to resume his pen")</f>
        <v>Fast delivery and careful flawless is impeccable. my son will be able to resume his pen</v>
      </c>
    </row>
    <row r="2709">
      <c r="A2709" s="1">
        <v>5.0</v>
      </c>
      <c r="B2709" s="1" t="s">
        <v>2690</v>
      </c>
      <c r="C2709" t="str">
        <f>IFERROR(__xludf.DUMMYFUNCTION("GOOGLETRANSLATE(B2709, ""fr"", ""en"")"),"Silver Hoop This is a beautiful loop with nice effect of reflection my wife'm delighted. I recommend eyes closed.")</f>
        <v>Silver Hoop This is a beautiful loop with nice effect of reflection my wife'm delighted. I recommend eyes closed.</v>
      </c>
    </row>
    <row r="2710">
      <c r="A2710" s="1">
        <v>5.0</v>
      </c>
      <c r="B2710" s="1" t="s">
        <v>2691</v>
      </c>
      <c r="C2710" t="str">
        <f>IFERROR(__xludf.DUMMYFUNCTION("GOOGLETRANSLATE(B2710, ""fr"", ""en"")"),"Pretty sneakers They are very comfortable sneakers, light and with a good fabric qualité.Je do not regret this purchase.")</f>
        <v>Pretty sneakers They are very comfortable sneakers, light and with a good fabric qualité.Je do not regret this purchase.</v>
      </c>
    </row>
    <row r="2711">
      <c r="A2711" s="1">
        <v>5.0</v>
      </c>
      <c r="B2711" s="1" t="s">
        <v>2692</v>
      </c>
      <c r="C2711" t="str">
        <f>IFERROR(__xludf.DUMMYFUNCTION("GOOGLETRANSLATE(B2711, ""fr"", ""en"")"),"Good Choice Put it in the refrigerator and use it especially comfortably")</f>
        <v>Good Choice Put it in the refrigerator and use it especially comfortably</v>
      </c>
    </row>
    <row r="2712">
      <c r="A2712" s="1">
        <v>5.0</v>
      </c>
      <c r="B2712" s="1" t="s">
        <v>2693</v>
      </c>
      <c r="C2712" t="str">
        <f>IFERROR(__xludf.DUMMYFUNCTION("GOOGLETRANSLATE(B2712, ""fr"", ""en"")"),"J adore my little shoes! Purchased in 2015 and I still bears, they are in good condition, I'll take care and do the door in dry weather because I find them very comfortable and pretty. J had loved the scent in it when we receive them! Bought in a size 39 "&amp;"to 38.5, extra!")</f>
        <v>J adore my little shoes! Purchased in 2015 and I still bears, they are in good condition, I'll take care and do the door in dry weather because I find them very comfortable and pretty. J had loved the scent in it when we receive them! Bought in a size 39 to 38.5, extra!</v>
      </c>
    </row>
    <row r="2713">
      <c r="A2713" s="1">
        <v>5.0</v>
      </c>
      <c r="B2713" s="1" t="s">
        <v>2694</v>
      </c>
      <c r="C2713" t="str">
        <f>IFERROR(__xludf.DUMMYFUNCTION("GOOGLETRANSLATE(B2713, ""fr"", ""en"")"),"Excellent quality and perfect size Very good quality, this brand continues for decades to make comfortable and indémmodables products. Excellent value. No problem during the first wash.")</f>
        <v>Excellent quality and perfect size Very good quality, this brand continues for decades to make comfortable and indémmodables products. Excellent value. No problem during the first wash.</v>
      </c>
    </row>
    <row r="2714">
      <c r="A2714" s="1">
        <v>5.0</v>
      </c>
      <c r="B2714" s="1" t="s">
        <v>2695</v>
      </c>
      <c r="C2714" t="str">
        <f>IFERROR(__xludf.DUMMYFUNCTION("GOOGLETRANSLATE(B2714, ""fr"", ""en"")"),".. Very good product ... its been 3 years since I command occurs ...")</f>
        <v>.. Very good product ... its been 3 years since I command occurs ...</v>
      </c>
    </row>
    <row r="2715">
      <c r="A2715" s="1">
        <v>5.0</v>
      </c>
      <c r="B2715" s="1" t="s">
        <v>2696</v>
      </c>
      <c r="C2715" t="str">
        <f>IFERROR(__xludf.DUMMYFUNCTION("GOOGLETRANSLATE(B2715, ""fr"", ""en"")"),"Micro HF bluetooth more I needed a microphone to my mobile disco I wanted to test simple product Basic sound quality that can be good to do karaoke or party house")</f>
        <v>Micro HF bluetooth more I needed a microphone to my mobile disco I wanted to test simple product Basic sound quality that can be good to do karaoke or party house</v>
      </c>
    </row>
    <row r="2716">
      <c r="A2716" s="1">
        <v>5.0</v>
      </c>
      <c r="B2716" s="1" t="s">
        <v>2697</v>
      </c>
      <c r="C2716" t="str">
        <f>IFERROR(__xludf.DUMMYFUNCTION("GOOGLETRANSLATE(B2716, ""fr"", ""en"")"),"Very comfortable J bought these shoes for my husband. He loves them? Impeccable for people who travel a lot on building sites")</f>
        <v>Very comfortable J bought these shoes for my husband. He loves them? Impeccable for people who travel a lot on building sites</v>
      </c>
    </row>
    <row r="2717">
      <c r="A2717" s="1">
        <v>5.0</v>
      </c>
      <c r="B2717" s="1" t="s">
        <v>2698</v>
      </c>
      <c r="C2717" t="str">
        <f>IFERROR(__xludf.DUMMYFUNCTION("GOOGLETRANSLATE(B2717, ""fr"", ""en"")"),"Purchase Av converse converse is ss surprise. Any suitable. Small flat, the delivery has not been made at the agreed place. The new location was quite far from home")</f>
        <v>Purchase Av converse converse is ss surprise. Any suitable. Small flat, the delivery has not been made at the agreed place. The new location was quite far from home</v>
      </c>
    </row>
    <row r="2718">
      <c r="A2718" s="1">
        <v>5.0</v>
      </c>
      <c r="B2718" s="1" t="s">
        <v>2699</v>
      </c>
      <c r="C2718" t="str">
        <f>IFERROR(__xludf.DUMMYFUNCTION("GOOGLETRANSLATE(B2718, ""fr"", ""en"")"),"We are happy. Very easy for a smooth weaning after feeding, the big plus is easy to sterilization being output.")</f>
        <v>We are happy. Very easy for a smooth weaning after feeding, the big plus is easy to sterilization being output.</v>
      </c>
    </row>
    <row r="2719">
      <c r="A2719" s="1">
        <v>2.0</v>
      </c>
      <c r="B2719" s="1" t="s">
        <v>2700</v>
      </c>
      <c r="C2719" t="str">
        <f>IFERROR(__xludf.DUMMYFUNCTION("GOOGLETRANSLATE(B2719, ""fr"", ""en"")"),"be careful with the usually carve j'achete 46 (EN), 12 (US) in this case I should have taken a 13 (US), so I had to return the product.")</f>
        <v>be careful with the usually carve j'achete 46 (EN), 12 (US) in this case I should have taken a 13 (US), so I had to return the product.</v>
      </c>
    </row>
    <row r="2720">
      <c r="A2720" s="1">
        <v>1.0</v>
      </c>
      <c r="B2720" s="1" t="s">
        <v>2701</v>
      </c>
      <c r="C2720" t="str">
        <f>IFERROR(__xludf.DUMMYFUNCTION("GOOGLETRANSLATE(B2720, ""fr"", ""en"")"),"Error size I ordered size 41.5 shoes I receive in 41 !!!!")</f>
        <v>Error size I ordered size 41.5 shoes I receive in 41 !!!!</v>
      </c>
    </row>
    <row r="2721">
      <c r="A2721" s="1">
        <v>1.0</v>
      </c>
      <c r="B2721" s="1" t="s">
        <v>2702</v>
      </c>
      <c r="C2721" t="str">
        <f>IFERROR(__xludf.DUMMYFUNCTION("GOOGLETRANSLATE(B2721, ""fr"", ""en"")"),"innadmissible! Barely 3 months after purchase I have a listener that does not work anymore! saw the price is unacceptable.")</f>
        <v>innadmissible! Barely 3 months after purchase I have a listener that does not work anymore! saw the price is unacceptable.</v>
      </c>
    </row>
    <row r="2722">
      <c r="A2722" s="1">
        <v>3.0</v>
      </c>
      <c r="B2722" s="1" t="s">
        <v>2703</v>
      </c>
      <c r="C2722" t="str">
        <f>IFERROR(__xludf.DUMMYFUNCTION("GOOGLETRANSLATE(B2722, ""fr"", ""en"")"),"Zipper Zipper a little fragile.")</f>
        <v>Zipper Zipper a little fragile.</v>
      </c>
    </row>
    <row r="2723">
      <c r="A2723" s="1">
        <v>4.0</v>
      </c>
      <c r="B2723" s="1" t="s">
        <v>2704</v>
      </c>
      <c r="C2723" t="str">
        <f>IFERROR(__xludf.DUMMYFUNCTION("GOOGLETRANSLATE(B2723, ""fr"", ""en"")"),"Sizes consistent I thought size 40 would be a fair bit leggings, as it is also indicated Mr. I do well a 40 but I have enough muscular thighs and calves and was afraid to be a little tight. This is not the case. The legging suits me very comfortable way. "&amp;"It does not greenhouse waist. The model is original with its different colors. A micro pocket on the front of the size can accommodate a key. I just regret that the seams are felt on the inside. They are fairly large and many given the effects of fabric. "&amp;"Redhibitif not for me but this may annoy some.")</f>
        <v>Sizes consistent I thought size 40 would be a fair bit leggings, as it is also indicated Mr. I do well a 40 but I have enough muscular thighs and calves and was afraid to be a little tight. This is not the case. The legging suits me very comfortable way. It does not greenhouse waist. The model is original with its different colors. A micro pocket on the front of the size can accommodate a key. I just regret that the seams are felt on the inside. They are fairly large and many given the effects of fabric. Redhibitif not for me but this may annoy some.</v>
      </c>
    </row>
    <row r="2724">
      <c r="A2724" s="1">
        <v>4.0</v>
      </c>
      <c r="B2724" s="1" t="s">
        <v>2705</v>
      </c>
      <c r="C2724" t="str">
        <f>IFERROR(__xludf.DUMMYFUNCTION("GOOGLETRANSLATE(B2724, ""fr"", ""en"")"),"Solid and good headphones, long thread, micro disappointing build quality ⭐⭐⭐⭐⭐ The headphones are very good. Metal therefore seem a bit heavy after those supplied with the phone, but we made it fast and it is a guarantee of solidity :) Note that their ba"&amp;"ck is magnetized, which is convenient for storage. Micro ⭐⭐ The downside of the device. It has nice features (push button volume control, ""call"" button that play / pause on Android) But it shows its limits on appeal: crackling, grinding noises while I'm"&amp;" still (item ascended to the manufacturer, which m 'replied that it was intended for occasional calls. Duly noted.) news ⭐⭐⭐⭐ Very tough, reinforcements have been provided between the wire and the earpiece to avoid false contacts. The jack is bent not to "&amp;"sink into the pocket. I removed one star because it is too long for my use: it exceeds my pocket when I'm in the street / underground which does sometimes get caught in the edges. However, this can be solved with a clamp accessory. Audio quality ⭐⭐⭐⭐⭐ Sim"&amp;"ply unbeatable in this price range! Everything is there, treble bass. It is clear and balanced, and the sound is powerful. Accessories ⭐⭐⭐⭐⭐ The manufacturer does not skimp: no less than 4 pairs of additional tips (see photo) of different sizes to meet al"&amp;"l users. Some memory foam, other plastic. All insulate well from the outside, and it's a pleasure to have them on the subway. Note that it will probably not lead to bike with, otherwise misheard other road users. There are also: - pliers to handle the len"&amp;"gth of the wire - a padded storage pouch that will properly protect your headphones shock. - no problem with the package is a metal box that will best protect your precious Summary ⭐⭐⭐⭐ It borders on excellence! Very satisfied with my purchase, and I acco"&amp;"mmodates its flaws. Those who spend a lot of calls, go your way, however, because the call quality is just average. Others do not hesitate :) Feel free to indicate below if my review was helpful")</f>
        <v>Solid and good headphones, long thread, micro disappointing build quality ⭐⭐⭐⭐⭐ The headphones are very good. Metal therefore seem a bit heavy after those supplied with the phone, but we made it fast and it is a guarantee of solidity :) Note that their back is magnetized, which is convenient for storage. Micro ⭐⭐ The downside of the device. It has nice features (push button volume control, "call" button that play / pause on Android) But it shows its limits on appeal: crackling, grinding noises while I'm still (item ascended to the manufacturer, which m 'replied that it was intended for occasional calls. Duly noted.) news ⭐⭐⭐⭐ Very tough, reinforcements have been provided between the wire and the earpiece to avoid false contacts. The jack is bent not to sink into the pocket. I removed one star because it is too long for my use: it exceeds my pocket when I'm in the street / underground which does sometimes get caught in the edges. However, this can be solved with a clamp accessory. Audio quality ⭐⭐⭐⭐⭐ Simply unbeatable in this price range! Everything is there, treble bass. It is clear and balanced, and the sound is powerful. Accessories ⭐⭐⭐⭐⭐ The manufacturer does not skimp: no less than 4 pairs of additional tips (see photo) of different sizes to meet all users. Some memory foam, other plastic. All insulate well from the outside, and it's a pleasure to have them on the subway. Note that it will probably not lead to bike with, otherwise misheard other road users. There are also: - pliers to handle the length of the wire - a padded storage pouch that will properly protect your headphones shock. - no problem with the package is a metal box that will best protect your precious Summary ⭐⭐⭐⭐ It borders on excellence! Very satisfied with my purchase, and I accommodates its flaws. Those who spend a lot of calls, go your way, however, because the call quality is just average. Others do not hesitate :) Feel free to indicate below if my review was helpful</v>
      </c>
    </row>
    <row r="2725">
      <c r="A2725" s="1">
        <v>4.0</v>
      </c>
      <c r="B2725" s="1" t="s">
        <v>2706</v>
      </c>
      <c r="C2725" t="str">
        <f>IFERROR(__xludf.DUMMYFUNCTION("GOOGLETRANSLATE(B2725, ""fr"", ""en"")"),"very fair size basketball Beautiful but very fair size, it is advisable to take a pointed above to be comfortable especially if you have the walk a little wide")</f>
        <v>very fair size basketball Beautiful but very fair size, it is advisable to take a pointed above to be comfortable especially if you have the walk a little wide</v>
      </c>
    </row>
    <row r="2726">
      <c r="A2726" s="1">
        <v>4.0</v>
      </c>
      <c r="B2726" s="1" t="s">
        <v>2707</v>
      </c>
      <c r="C2726" t="str">
        <f>IFERROR(__xludf.DUMMYFUNCTION("GOOGLETRANSLATE(B2726, ""fr"", ""en"")"),"Super quality Very nice quality and glowing color and intense Convenient neon colors pr complete range of pens stabilo")</f>
        <v>Super quality Very nice quality and glowing color and intense Convenient neon colors pr complete range of pens stabilo</v>
      </c>
    </row>
    <row r="2727">
      <c r="A2727" s="1">
        <v>5.0</v>
      </c>
      <c r="B2727" s="1" t="s">
        <v>2708</v>
      </c>
      <c r="C2727" t="str">
        <f>IFERROR(__xludf.DUMMYFUNCTION("GOOGLETRANSLATE(B2727, ""fr"", ""en"")"),"Ras A little expensive but top")</f>
        <v>Ras A little expensive but top</v>
      </c>
    </row>
    <row r="2728">
      <c r="A2728" s="1">
        <v>5.0</v>
      </c>
      <c r="B2728" s="1" t="s">
        <v>2709</v>
      </c>
      <c r="C2728" t="str">
        <f>IFERROR(__xludf.DUMMYFUNCTION("GOOGLETRANSLATE(B2728, ""fr"", ""en"")"),"Really top Super shoe! too soft and comfortable!")</f>
        <v>Really top Super shoe! too soft and comfortable!</v>
      </c>
    </row>
    <row r="2729">
      <c r="A2729" s="1">
        <v>5.0</v>
      </c>
      <c r="B2729" s="1" t="s">
        <v>2710</v>
      </c>
      <c r="C2729" t="str">
        <f>IFERROR(__xludf.DUMMYFUNCTION("GOOGLETRANSLATE(B2729, ""fr"", ""en"")"),"excellent quality, 5 times cheaper than the high end very satisfied because I can not bear the high and all other bluetooth headsets I've tried, even the high-end, were well higher pitch than this. Comfortable, unfortunately not very practical when you we"&amp;"ar glasses (like the vast majority of other headphones)")</f>
        <v>excellent quality, 5 times cheaper than the high end very satisfied because I can not bear the high and all other bluetooth headsets I've tried, even the high-end, were well higher pitch than this. Comfortable, unfortunately not very practical when you wear glasses (like the vast majority of other headphones)</v>
      </c>
    </row>
    <row r="2730">
      <c r="A2730" s="1">
        <v>5.0</v>
      </c>
      <c r="B2730" s="1" t="s">
        <v>2711</v>
      </c>
      <c r="C2730" t="str">
        <f>IFERROR(__xludf.DUMMYFUNCTION("GOOGLETRANSLATE(B2730, ""fr"", ""en"")"),"A great investment. Really excellent as microphone. With the application, it's really simple to use and real quality!")</f>
        <v>A great investment. Really excellent as microphone. With the application, it's really simple to use and real quality!</v>
      </c>
    </row>
    <row r="2731">
      <c r="A2731" s="1">
        <v>5.0</v>
      </c>
      <c r="B2731" s="1" t="s">
        <v>2712</v>
      </c>
      <c r="C2731" t="str">
        <f>IFERROR(__xludf.DUMMYFUNCTION("GOOGLETRANSLATE(B2731, ""fr"", ""en"")"),"Very good value for money .I recommend this product without problem.")</f>
        <v>Very good value for money .I recommend this product without problem.</v>
      </c>
    </row>
    <row r="2732">
      <c r="A2732" s="1">
        <v>5.0</v>
      </c>
      <c r="B2732" s="1" t="s">
        <v>2713</v>
      </c>
      <c r="C2732" t="str">
        <f>IFERROR(__xludf.DUMMYFUNCTION("GOOGLETRANSLATE(B2732, ""fr"", ""en"")"),"Very good value Very good value")</f>
        <v>Very good value Very good value</v>
      </c>
    </row>
    <row r="2733">
      <c r="A2733" s="1">
        <v>5.0</v>
      </c>
      <c r="B2733" s="1" t="s">
        <v>2714</v>
      </c>
      <c r="C2733" t="str">
        <f>IFERROR(__xludf.DUMMYFUNCTION("GOOGLETRANSLATE(B2733, ""fr"", ""en"")"),"perfect conformity to the picture, fast delivery, easy to use good face, silent Very satisfied with my purchase, aesthetic although it is plastic. I recommend")</f>
        <v>perfect conformity to the picture, fast delivery, easy to use good face, silent Very satisfied with my purchase, aesthetic although it is plastic. I recommend</v>
      </c>
    </row>
    <row r="2734">
      <c r="A2734" s="1">
        <v>5.0</v>
      </c>
      <c r="B2734" s="1" t="s">
        <v>2715</v>
      </c>
      <c r="C2734" t="str">
        <f>IFERROR(__xludf.DUMMYFUNCTION("GOOGLETRANSLATE(B2734, ""fr"", ""en"")"),"Robustness serving sport robustness for everyday use .Attention for the brand Salomon provide one size above your size and see 1pointure half.")</f>
        <v>Robustness serving sport robustness for everyday use .Attention for the brand Salomon provide one size above your size and see 1pointure half.</v>
      </c>
    </row>
    <row r="2735">
      <c r="A2735" s="1">
        <v>5.0</v>
      </c>
      <c r="B2735" s="1" t="s">
        <v>2716</v>
      </c>
      <c r="C2735" t="str">
        <f>IFERROR(__xludf.DUMMYFUNCTION("GOOGLETRANSLATE(B2735, ""fr"", ""en"")"),"Creoles top !! Beautiful gem is the picture")</f>
        <v>Creoles top !! Beautiful gem is the picture</v>
      </c>
    </row>
    <row r="2736">
      <c r="A2736" s="1">
        <v>5.0</v>
      </c>
      <c r="B2736" s="1" t="s">
        <v>224</v>
      </c>
      <c r="C2736" t="str">
        <f>IFERROR(__xludf.DUMMYFUNCTION("GOOGLETRANSLATE(B2736, ""fr"", ""en"")"),"perfect perfect")</f>
        <v>perfect perfect</v>
      </c>
    </row>
    <row r="2737">
      <c r="A2737" s="1">
        <v>5.0</v>
      </c>
      <c r="B2737" s="1" t="s">
        <v>2717</v>
      </c>
      <c r="C2737" t="str">
        <f>IFERROR(__xludf.DUMMYFUNCTION("GOOGLETRANSLATE(B2737, ""fr"", ""en"")"),"Great product great, except that it can not sufficiently decrease the volume. It would take an intermediate level in relation to such.")</f>
        <v>Great product great, except that it can not sufficiently decrease the volume. It would take an intermediate level in relation to such.</v>
      </c>
    </row>
    <row r="2738">
      <c r="A2738" s="1">
        <v>5.0</v>
      </c>
      <c r="B2738" s="1" t="s">
        <v>224</v>
      </c>
      <c r="C2738" t="str">
        <f>IFERROR(__xludf.DUMMYFUNCTION("GOOGLETRANSLATE(B2738, ""fr"", ""en"")"),"perfect perfect")</f>
        <v>perfect perfect</v>
      </c>
    </row>
    <row r="2739">
      <c r="A2739" s="1">
        <v>5.0</v>
      </c>
      <c r="B2739" s="1" t="s">
        <v>2718</v>
      </c>
      <c r="C2739" t="str">
        <f>IFERROR(__xludf.DUMMYFUNCTION("GOOGLETRANSLATE(B2739, ""fr"", ""en"")"),"In the top ! This legging is very well cut. Neither too big nor too small. I confess that I do not run while'm using it as pajama bottoms and I'm very comfortable in it. It does not stick; I so do not sweat it. I washed it and it has not shrunk in the was"&amp;"h. Top !")</f>
        <v>In the top ! This legging is very well cut. Neither too big nor too small. I confess that I do not run while'm using it as pajama bottoms and I'm very comfortable in it. It does not stick; I so do not sweat it. I washed it and it has not shrunk in the wash. Top !</v>
      </c>
    </row>
    <row r="2740">
      <c r="A2740" s="1">
        <v>5.0</v>
      </c>
      <c r="B2740" s="1" t="s">
        <v>2719</v>
      </c>
      <c r="C2740" t="str">
        <f>IFERROR(__xludf.DUMMYFUNCTION("GOOGLETRANSLATE(B2740, ""fr"", ""en"")"),"The bib 'glass in a nice gift box 🎁 If you can do without plastic (even BPA) and especially for the babies, I think we do. This box will always please the moms. It's a pretty useful gift for maternity. I offered the daughter of a friend who gave birth th"&amp;"ere is little and she was thrilled!")</f>
        <v>The bib 'glass in a nice gift box 🎁 If you can do without plastic (even BPA) and especially for the babies, I think we do. This box will always please the moms. It's a pretty useful gift for maternity. I offered the daughter of a friend who gave birth there is little and she was thrilled!</v>
      </c>
    </row>
    <row r="2741">
      <c r="A2741" s="1">
        <v>5.0</v>
      </c>
      <c r="B2741" s="1" t="s">
        <v>2720</v>
      </c>
      <c r="C2741" t="str">
        <f>IFERROR(__xludf.DUMMYFUNCTION("GOOGLETRANSLATE(B2741, ""fr"", ""en"")"),"Take a size below your J'adore! I followed the reviews of other customers and me who puts 46 I took L Xl And it's perfect. pleasant material.")</f>
        <v>Take a size below your J'adore! I followed the reviews of other customers and me who puts 46 I took L Xl And it's perfect. pleasant material.</v>
      </c>
    </row>
    <row r="2742">
      <c r="A2742" s="1">
        <v>5.0</v>
      </c>
      <c r="B2742" s="1" t="s">
        <v>2721</v>
      </c>
      <c r="C2742" t="str">
        <f>IFERROR(__xludf.DUMMYFUNCTION("GOOGLETRANSLATE(B2742, ""fr"", ""en"")"),"mini, cute and perfect very happy with this product. It is very convenient, nice finish, it heats very quickly not too big nor too small for perfect 2 see 3 cups")</f>
        <v>mini, cute and perfect very happy with this product. It is very convenient, nice finish, it heats very quickly not too big nor too small for perfect 2 see 3 cups</v>
      </c>
    </row>
    <row r="2743">
      <c r="A2743" s="1">
        <v>2.0</v>
      </c>
      <c r="B2743" s="1" t="s">
        <v>2722</v>
      </c>
      <c r="C2743" t="str">
        <f>IFERROR(__xludf.DUMMYFUNCTION("GOOGLETRANSLATE(B2743, ""fr"", ""en"")"),"Too slow ... Given the price, we expected a high quality product. It turns out that this bottle heater takes more than 10 minutes to heat small amounts (60 to 100 ml). Do not do when your baby is screaming next door. Price too high compared to other heate"&amp;"rs bottles of equivalent range on the market.")</f>
        <v>Too slow ... Given the price, we expected a high quality product. It turns out that this bottle heater takes more than 10 minutes to heat small amounts (60 to 100 ml). Do not do when your baby is screaming next door. Price too high compared to other heaters bottles of equivalent range on the market.</v>
      </c>
    </row>
    <row r="2744">
      <c r="A2744" s="1">
        <v>1.0</v>
      </c>
      <c r="B2744" s="1" t="s">
        <v>2723</v>
      </c>
      <c r="C2744" t="str">
        <f>IFERROR(__xludf.DUMMYFUNCTION("GOOGLETRANSLATE(B2744, ""fr"", ""en"")"),"Quality I just cancel my order because the comments are not top")</f>
        <v>Quality I just cancel my order because the comments are not top</v>
      </c>
    </row>
    <row r="2745">
      <c r="A2745" s="1">
        <v>3.0</v>
      </c>
      <c r="B2745" s="1" t="s">
        <v>2724</v>
      </c>
      <c r="C2745" t="str">
        <f>IFERROR(__xludf.DUMMYFUNCTION("GOOGLETRANSLATE(B2745, ""fr"", ""en"")"),"Good quality but delivery service to leak bubble paper purchased for our move easier but delivery order catastrophic!")</f>
        <v>Good quality but delivery service to leak bubble paper purchased for our move easier but delivery order catastrophic!</v>
      </c>
    </row>
    <row r="2746">
      <c r="A2746" s="1">
        <v>3.0</v>
      </c>
      <c r="B2746" s="1" t="s">
        <v>2725</v>
      </c>
      <c r="C2746" t="str">
        <f>IFERROR(__xludf.DUMMYFUNCTION("GOOGLETRANSLATE(B2746, ""fr"", ""en"")"),"Although they smell good but not strong enough for me ...")</f>
        <v>Although they smell good but not strong enough for me ...</v>
      </c>
    </row>
    <row r="2747">
      <c r="A2747" s="1">
        <v>4.0</v>
      </c>
      <c r="B2747" s="1" t="s">
        <v>2726</v>
      </c>
      <c r="C2747" t="str">
        <f>IFERROR(__xludf.DUMMYFUNCTION("GOOGLETRANSLATE(B2747, ""fr"", ""en"")"),"Yes, it fits well between us Finally I found an adhesive for adhering objects to the wall (kind of plaster that I have not selected), strangely it did not seem to stick (not fingers) but once fixed to the wall, it is surprising to adhesion. It's a bit exp"&amp;"ensive, but it works!")</f>
        <v>Yes, it fits well between us Finally I found an adhesive for adhering objects to the wall (kind of plaster that I have not selected), strangely it did not seem to stick (not fingers) but once fixed to the wall, it is surprising to adhesion. It's a bit expensive, but it works!</v>
      </c>
    </row>
    <row r="2748">
      <c r="A2748" s="1">
        <v>4.0</v>
      </c>
      <c r="B2748" s="1" t="s">
        <v>2727</v>
      </c>
      <c r="C2748" t="str">
        <f>IFERROR(__xludf.DUMMYFUNCTION("GOOGLETRANSLATE(B2748, ""fr"", ""en"")"),"As décri Pretty and comes with an extra cord in case of breakage")</f>
        <v>As décri Pretty and comes with an extra cord in case of breakage</v>
      </c>
    </row>
    <row r="2749">
      <c r="A2749" s="1">
        <v>4.0</v>
      </c>
      <c r="B2749" s="1" t="s">
        <v>2728</v>
      </c>
      <c r="C2749" t="str">
        <f>IFERROR(__xludf.DUMMYFUNCTION("GOOGLETRANSLATE(B2749, ""fr"", ""en"")"),"Comfortable shoes comfortable, very correct damping normally shoes to wear, too recent purchase for an opinion. To date only one complaint: these shoes are for me a little bulky")</f>
        <v>Comfortable shoes comfortable, very correct damping normally shoes to wear, too recent purchase for an opinion. To date only one complaint: these shoes are for me a little bulky</v>
      </c>
    </row>
    <row r="2750">
      <c r="A2750" s="1">
        <v>4.0</v>
      </c>
      <c r="B2750" s="1" t="s">
        <v>2729</v>
      </c>
      <c r="C2750" t="str">
        <f>IFERROR(__xludf.DUMMYFUNCTION("GOOGLETRANSLATE(B2750, ""fr"", ""en"")"),"suitable for bonding without destroying - consistent and very useful for DIY")</f>
        <v>suitable for bonding without destroying - consistent and very useful for DIY</v>
      </c>
    </row>
    <row r="2751">
      <c r="A2751" s="1">
        <v>4.0</v>
      </c>
      <c r="B2751" s="1" t="s">
        <v>2730</v>
      </c>
      <c r="C2751" t="str">
        <f>IFERROR(__xludf.DUMMYFUNCTION("GOOGLETRANSLATE(B2751, ""fr"", ""en"")"),"Very nice shoes! I bought these shoes for my little brother and love them! The appointed is well done, they hold well and are comfortable to walk! 5 stars well deserved !!!")</f>
        <v>Very nice shoes! I bought these shoes for my little brother and love them! The appointed is well done, they hold well and are comfortable to walk! 5 stars well deserved !!!</v>
      </c>
    </row>
    <row r="2752">
      <c r="A2752" s="1">
        <v>5.0</v>
      </c>
      <c r="B2752" s="1" t="s">
        <v>2731</v>
      </c>
      <c r="C2752" t="str">
        <f>IFERROR(__xludf.DUMMYFUNCTION("GOOGLETRANSLATE(B2752, ""fr"", ""en"")"),"Nien Very Well")</f>
        <v>Nien Very Well</v>
      </c>
    </row>
    <row r="2753">
      <c r="A2753" s="1">
        <v>5.0</v>
      </c>
      <c r="B2753" s="1" t="s">
        <v>2732</v>
      </c>
      <c r="C2753" t="str">
        <f>IFERROR(__xludf.DUMMYFUNCTION("GOOGLETRANSLATE(B2753, ""fr"", ""en"")"),"They are pretty great and I was more of a gift insole is nice is 35 I pri 35.5 but the shoes it says 35 they fit me perfectly")</f>
        <v>They are pretty great and I was more of a gift insole is nice is 35 I pri 35.5 but the shoes it says 35 they fit me perfectly</v>
      </c>
    </row>
    <row r="2754">
      <c r="A2754" s="1">
        <v>5.0</v>
      </c>
      <c r="B2754" s="1" t="s">
        <v>2733</v>
      </c>
      <c r="C2754" t="str">
        <f>IFERROR(__xludf.DUMMYFUNCTION("GOOGLETRANSLATE(B2754, ""fr"", ""en"")"),"Great I made the 39 I took 38 and a half I would take a 38 stinks no problem not her she's awesome class and has very comfortable it's supplied with two pair of lace")</f>
        <v>Great I made the 39 I took 38 and a half I would take a 38 stinks no problem not her she's awesome class and has very comfortable it's supplied with two pair of lace</v>
      </c>
    </row>
    <row r="2755">
      <c r="A2755" s="1">
        <v>5.0</v>
      </c>
      <c r="B2755" s="1" t="s">
        <v>2734</v>
      </c>
      <c r="C2755" t="str">
        <f>IFERROR(__xludf.DUMMYFUNCTION("GOOGLETRANSLATE(B2755, ""fr"", ""en"")"),"Best Magic wax to restore the leather. very good and really powerful odor")</f>
        <v>Best Magic wax to restore the leather. very good and really powerful odor</v>
      </c>
    </row>
    <row r="2756">
      <c r="A2756" s="1">
        <v>5.0</v>
      </c>
      <c r="B2756" s="1" t="s">
        <v>2735</v>
      </c>
      <c r="C2756" t="str">
        <f>IFERROR(__xludf.DUMMYFUNCTION("GOOGLETRANSLATE(B2756, ""fr"", ""en"")"),"sublime I ordered these loops for the birthday of a friend. They loved it, beautiful packaging as to the jeweler. Money is very beautiful to the ear that had its effect and considering the price I will order for me!")</f>
        <v>sublime I ordered these loops for the birthday of a friend. They loved it, beautiful packaging as to the jeweler. Money is very beautiful to the ear that had its effect and considering the price I will order for me!</v>
      </c>
    </row>
    <row r="2757">
      <c r="A2757" s="1">
        <v>5.0</v>
      </c>
      <c r="B2757" s="1" t="s">
        <v>2736</v>
      </c>
      <c r="C2757" t="str">
        <f>IFERROR(__xludf.DUMMYFUNCTION("GOOGLETRANSLATE(B2757, ""fr"", ""en"")"),"All very pretty soft and super comfortable !!!")</f>
        <v>All very pretty soft and super comfortable !!!</v>
      </c>
    </row>
    <row r="2758">
      <c r="A2758" s="1">
        <v>5.0</v>
      </c>
      <c r="B2758" s="1" t="s">
        <v>2737</v>
      </c>
      <c r="C2758" t="str">
        <f>IFERROR(__xludf.DUMMYFUNCTION("GOOGLETRANSLATE(B2758, ""fr"", ""en"")"),"Comfortable and good size")</f>
        <v>Comfortable and good size</v>
      </c>
    </row>
    <row r="2759">
      <c r="A2759" s="1">
        <v>5.0</v>
      </c>
      <c r="B2759" s="1" t="s">
        <v>2738</v>
      </c>
      <c r="C2759" t="str">
        <f>IFERROR(__xludf.DUMMYFUNCTION("GOOGLETRANSLATE(B2759, ""fr"", ""en"")"),"Perfect to recommend")</f>
        <v>Perfect to recommend</v>
      </c>
    </row>
    <row r="2760">
      <c r="A2760" s="1">
        <v>5.0</v>
      </c>
      <c r="B2760" s="1" t="s">
        <v>2739</v>
      </c>
      <c r="C2760" t="str">
        <f>IFERROR(__xludf.DUMMYFUNCTION("GOOGLETRANSLATE(B2760, ""fr"", ""en"")"),"Perfect Perfectly satisfied with this purchase, bracelet 17mm black to give a second life to my swatch. The bracelet is more rubber than the original, but seems solid. I think it will be as strong as the original. Small installation kit comes with. Good p"&amp;"acketage.")</f>
        <v>Perfect Perfectly satisfied with this purchase, bracelet 17mm black to give a second life to my swatch. The bracelet is more rubber than the original, but seems solid. I think it will be as strong as the original. Small installation kit comes with. Good packetage.</v>
      </c>
    </row>
    <row r="2761">
      <c r="A2761" s="1">
        <v>5.0</v>
      </c>
      <c r="B2761" s="1" t="s">
        <v>2740</v>
      </c>
      <c r="C2761" t="str">
        <f>IFERROR(__xludf.DUMMYFUNCTION("GOOGLETRANSLATE(B2761, ""fr"", ""en"")"),"Beautiful long sleeve cardigan with lace back and shoulders! &lt;A data-hook = ""product-link-linked"" class = ""a-link-normal"" href = ""/ vest-Cotton-Women-jacket-vest-Woman-Sleeve-Long-Bolero-Shawl-Woman / dp / B06XRV55JY / ref = cm_cr_getr_d_rvw_txt? ie "&amp;"= UTF8 ""&gt; cotton Vest Women Jacket Vest Women's Long Sleeve Bolero Shawl Woman &lt;/a&gt; the product is quite the description is made on the site. very fast delivery and careful. On opening the package, we discover a vest with long sleeves very well folded an"&amp;"d stored in a plastic bag. This vest is just beautiful !!! The material is very light and comfortable to wear. It can also do well to go to work with a small color top and jeans, or to be dressed in an evening gown. It adapts to all circumstances. It is o"&amp;"riginal because the back and shoulders are lace. He correctly size and finish are flawless (no son beyond seams or forgotten). Maintenance is very easy: it washes in cold water. I am quite pleased with this purchase and would recommend it highly, very goo"&amp;"d price / quality ratio. correct and very courteous seller, to recommend.")</f>
        <v>Beautiful long sleeve cardigan with lace back and shoulders! &lt;A data-hook = "product-link-linked" class = "a-link-normal" href = "/ vest-Cotton-Women-jacket-vest-Woman-Sleeve-Long-Bolero-Shawl-Woman / dp / B06XRV55JY / ref = cm_cr_getr_d_rvw_txt? ie = UTF8 "&gt; cotton Vest Women Jacket Vest Women's Long Sleeve Bolero Shawl Woman &lt;/a&gt; the product is quite the description is made on the site. very fast delivery and careful. On opening the package, we discover a vest with long sleeves very well folded and stored in a plastic bag. This vest is just beautiful !!! The material is very light and comfortable to wear. It can also do well to go to work with a small color top and jeans, or to be dressed in an evening gown. It adapts to all circumstances. It is original because the back and shoulders are lace. He correctly size and finish are flawless (no son beyond seams or forgotten). Maintenance is very easy: it washes in cold water. I am quite pleased with this purchase and would recommend it highly, very good price / quality ratio. correct and very courteous seller, to recommend.</v>
      </c>
    </row>
    <row r="2762">
      <c r="A2762" s="1">
        <v>5.0</v>
      </c>
      <c r="B2762" s="1" t="s">
        <v>2741</v>
      </c>
      <c r="C2762" t="str">
        <f>IFERROR(__xludf.DUMMYFUNCTION("GOOGLETRANSLATE(B2762, ""fr"", ""en"")"),"Excellent Product Beautiful coloring book and loved my niece 3 years. Very nice artwork and very good quality.")</f>
        <v>Excellent Product Beautiful coloring book and loved my niece 3 years. Very nice artwork and very good quality.</v>
      </c>
    </row>
    <row r="2763">
      <c r="A2763" s="1">
        <v>5.0</v>
      </c>
      <c r="B2763" s="1" t="s">
        <v>2742</v>
      </c>
      <c r="C2763" t="str">
        <f>IFERROR(__xludf.DUMMYFUNCTION("GOOGLETRANSLATE(B2763, ""fr"", ""en"")"),"At the height A value for money for these paper towel. They are thick, very absorbent and highly resistant when wet.")</f>
        <v>At the height A value for money for these paper towel. They are thick, very absorbent and highly resistant when wet.</v>
      </c>
    </row>
    <row r="2764">
      <c r="A2764" s="1">
        <v>5.0</v>
      </c>
      <c r="B2764" s="1" t="s">
        <v>2743</v>
      </c>
      <c r="C2764" t="str">
        <f>IFERROR(__xludf.DUMMYFUNCTION("GOOGLETRANSLATE(B2764, ""fr"", ""en"")"),"Jacket The jacket is consistent with the picture on the site .. I am very satisfied with this product .. I recommend")</f>
        <v>Jacket The jacket is consistent with the picture on the site .. I am very satisfied with this product .. I recommend</v>
      </c>
    </row>
    <row r="2765">
      <c r="A2765" s="1">
        <v>5.0</v>
      </c>
      <c r="B2765" s="1" t="s">
        <v>224</v>
      </c>
      <c r="C2765" t="str">
        <f>IFERROR(__xludf.DUMMYFUNCTION("GOOGLETRANSLATE(B2765, ""fr"", ""en"")"),"perfect perfect")</f>
        <v>perfect perfect</v>
      </c>
    </row>
    <row r="2766">
      <c r="A2766" s="1">
        <v>5.0</v>
      </c>
      <c r="B2766" s="1" t="s">
        <v>2744</v>
      </c>
      <c r="C2766" t="str">
        <f>IFERROR(__xludf.DUMMYFUNCTION("GOOGLETRANSLATE(B2766, ""fr"", ""en"")"),"Coffee Filter Jug Moulinex stainless and White Coffee practice and standard known brand, good use, I used the old programmable for years, having broken the jug, I took the same without the program, but at a price White attractive, ordered on Sunday night "&amp;"and on Wednesday delivered quickly from Amazon as usual Jean-Claude")</f>
        <v>Coffee Filter Jug Moulinex stainless and White Coffee practice and standard known brand, good use, I used the old programmable for years, having broken the jug, I took the same without the program, but at a price White attractive, ordered on Sunday night and on Wednesday delivered quickly from Amazon as usual Jean-Claude</v>
      </c>
    </row>
    <row r="2767">
      <c r="A2767" s="1">
        <v>2.0</v>
      </c>
      <c r="B2767" s="1" t="s">
        <v>2745</v>
      </c>
      <c r="C2767" t="str">
        <f>IFERROR(__xludf.DUMMYFUNCTION("GOOGLETRANSLATE(B2767, ""fr"", ""en"")"),"Pretty flip flops These are beautiful but they run small. I ordered the 41-42 and I received something closer to 40.")</f>
        <v>Pretty flip flops These are beautiful but they run small. I ordered the 41-42 and I received something closer to 40.</v>
      </c>
    </row>
    <row r="2768">
      <c r="A2768" s="1">
        <v>1.0</v>
      </c>
      <c r="B2768" s="1" t="s">
        <v>2746</v>
      </c>
      <c r="C2768" t="str">
        <f>IFERROR(__xludf.DUMMYFUNCTION("GOOGLETRANSLATE(B2768, ""fr"", ""en"")"),"unclear questionable originality, it was returned and I was refunded")</f>
        <v>unclear questionable originality, it was returned and I was refunded</v>
      </c>
    </row>
    <row r="2769">
      <c r="A2769" s="1">
        <v>1.0</v>
      </c>
      <c r="B2769" s="1" t="s">
        <v>2747</v>
      </c>
      <c r="C2769" t="str">
        <f>IFERROR(__xludf.DUMMYFUNCTION("GOOGLETRANSLATE(B2769, ""fr"", ""en"")"),"The microphone does not charge the product worked well when I received it. It's a great toy. He unloaded (normal) and there no way to charge it. I was fine to connect (up to 8 times) it does not load. So I can not use it. I used the supplied USB cable, I "&amp;"also tried with my samsung phone charging cord but still nothing. The charging light flashes but the battery does not charge. This is the second microphone that I control and I have the same problem.")</f>
        <v>The microphone does not charge the product worked well when I received it. It's a great toy. He unloaded (normal) and there no way to charge it. I was fine to connect (up to 8 times) it does not load. So I can not use it. I used the supplied USB cable, I also tried with my samsung phone charging cord but still nothing. The charging light flashes but the battery does not charge. This is the second microphone that I control and I have the same problem.</v>
      </c>
    </row>
    <row r="2770">
      <c r="A2770" s="1">
        <v>3.0</v>
      </c>
      <c r="B2770" s="1" t="s">
        <v>2748</v>
      </c>
      <c r="C2770" t="str">
        <f>IFERROR(__xludf.DUMMYFUNCTION("GOOGLETRANSLATE(B2770, ""fr"", ""en"")"),"I expected better view of the brand, I expected a better sound and more powerful but I think I got my money, it was cheap! ....")</f>
        <v>I expected better view of the brand, I expected a better sound and more powerful but I think I got my money, it was cheap! ....</v>
      </c>
    </row>
    <row r="2771">
      <c r="A2771" s="1">
        <v>3.0</v>
      </c>
      <c r="B2771" s="1" t="s">
        <v>2749</v>
      </c>
      <c r="C2771" t="str">
        <f>IFERROR(__xludf.DUMMYFUNCTION("GOOGLETRANSLATE(B2771, ""fr"", ""en"")"),"good product Product consistent with the description of the photo. friendly socks nothing to envy to other brands. That suits me")</f>
        <v>good product Product consistent with the description of the photo. friendly socks nothing to envy to other brands. That suits me</v>
      </c>
    </row>
    <row r="2772">
      <c r="A2772" s="1">
        <v>4.0</v>
      </c>
      <c r="B2772" s="1" t="s">
        <v>2750</v>
      </c>
      <c r="C2772" t="str">
        <f>IFERROR(__xludf.DUMMYFUNCTION("GOOGLETRANSLATE(B2772, ""fr"", ""en"")"),"LIGE WATCH WATCH AND CLASSIC AND DONE RATHER NOT BAD EFFECT SEEN IN TIME THE QUALITY, LITTLE EXPENSIVE.")</f>
        <v>LIGE WATCH WATCH AND CLASSIC AND DONE RATHER NOT BAD EFFECT SEEN IN TIME THE QUALITY, LITTLE EXPENSIVE.</v>
      </c>
    </row>
    <row r="2773">
      <c r="A2773" s="1">
        <v>4.0</v>
      </c>
      <c r="B2773" s="1" t="s">
        <v>2751</v>
      </c>
      <c r="C2773" t="str">
        <f>IFERROR(__xludf.DUMMYFUNCTION("GOOGLETRANSLATE(B2773, ""fr"", ""en"")"),"Excellent value but not perfect Holding worth gold lacquer slightly compared to the rest of the excellent value of this watch!")</f>
        <v>Excellent value but not perfect Holding worth gold lacquer slightly compared to the rest of the excellent value of this watch!</v>
      </c>
    </row>
    <row r="2774">
      <c r="A2774" s="1">
        <v>4.0</v>
      </c>
      <c r="B2774" s="1" t="s">
        <v>2752</v>
      </c>
      <c r="C2774" t="str">
        <f>IFERROR(__xludf.DUMMYFUNCTION("GOOGLETRANSLATE(B2774, ""fr"", ""en"")"),"Very simple and adequate Used every day for work, the watch is very simple enough does not indicate with any outfit. And for the price ... Only complaint, she does not show days.")</f>
        <v>Very simple and adequate Used every day for work, the watch is very simple enough does not indicate with any outfit. And for the price ... Only complaint, she does not show days.</v>
      </c>
    </row>
    <row r="2775">
      <c r="A2775" s="1">
        <v>4.0</v>
      </c>
      <c r="B2775" s="1" t="s">
        <v>2753</v>
      </c>
      <c r="C2775" t="str">
        <f>IFERROR(__xludf.DUMMYFUNCTION("GOOGLETRANSLATE(B2775, ""fr"", ""en"")"),"handles trash bags Okay if you do not load too bags and if we have a high trash. In my case, it's enough. I think again a command.")</f>
        <v>handles trash bags Okay if you do not load too bags and if we have a high trash. In my case, it's enough. I think again a command.</v>
      </c>
    </row>
    <row r="2776">
      <c r="A2776" s="1">
        <v>5.0</v>
      </c>
      <c r="B2776" s="1" t="s">
        <v>2754</v>
      </c>
      <c r="C2776" t="str">
        <f>IFERROR(__xludf.DUMMYFUNCTION("GOOGLETRANSLATE(B2776, ""fr"", ""en"")"),"Tb Okay")</f>
        <v>Tb Okay</v>
      </c>
    </row>
    <row r="2777">
      <c r="A2777" s="1">
        <v>5.0</v>
      </c>
      <c r="B2777" s="1" t="s">
        <v>2755</v>
      </c>
      <c r="C2777" t="str">
        <f>IFERROR(__xludf.DUMMYFUNCTION("GOOGLETRANSLATE(B2777, ""fr"", ""en"")"),"Thomson Wireless Headphones Very good helmet I am hard of hearing. This is the third brand that I buy (I break by sitting on it!) Saw its very good price / quality ratio.")</f>
        <v>Thomson Wireless Headphones Very good helmet I am hard of hearing. This is the third brand that I buy (I break by sitting on it!) Saw its very good price / quality ratio.</v>
      </c>
    </row>
    <row r="2778">
      <c r="A2778" s="1">
        <v>5.0</v>
      </c>
      <c r="B2778" s="1" t="s">
        <v>2756</v>
      </c>
      <c r="C2778" t="str">
        <f>IFERROR(__xludf.DUMMYFUNCTION("GOOGLETRANSLATE(B2778, ""fr"", ""en"")"),"Perfect Super toaster. We bought it for a second home. We already have one of our primary residence for years and it is great. This color is very beautiful.")</f>
        <v>Perfect Super toaster. We bought it for a second home. We already have one of our primary residence for years and it is great. This color is very beautiful.</v>
      </c>
    </row>
    <row r="2779">
      <c r="A2779" s="1">
        <v>5.0</v>
      </c>
      <c r="B2779" s="1" t="s">
        <v>2757</v>
      </c>
      <c r="C2779" t="str">
        <f>IFERROR(__xludf.DUMMYFUNCTION("GOOGLETRANSLATE(B2779, ""fr"", ""en"")"),"Perfect perfect and very pleasant to the ears")</f>
        <v>Perfect perfect and very pleasant to the ears</v>
      </c>
    </row>
    <row r="2780">
      <c r="A2780" s="1">
        <v>5.0</v>
      </c>
      <c r="B2780" s="1" t="s">
        <v>2758</v>
      </c>
      <c r="C2780" t="str">
        <f>IFERROR(__xludf.DUMMYFUNCTION("GOOGLETRANSLATE(B2780, ""fr"", ""en"")"),"Watch Very nice watch for a teenager. It is fine and classy.")</f>
        <v>Watch Very nice watch for a teenager. It is fine and classy.</v>
      </c>
    </row>
    <row r="2781">
      <c r="A2781" s="1">
        <v>5.0</v>
      </c>
      <c r="B2781" s="1" t="s">
        <v>2759</v>
      </c>
      <c r="C2781" t="str">
        <f>IFERROR(__xludf.DUMMYFUNCTION("GOOGLETRANSLATE(B2781, ""fr"", ""en"")"),"Excellent Excellent, this book is both useful for parents, teens, young adults. An accessible book, educational, exciting. I learned a lot through the pages.")</f>
        <v>Excellent Excellent, this book is both useful for parents, teens, young adults. An accessible book, educational, exciting. I learned a lot through the pages.</v>
      </c>
    </row>
    <row r="2782">
      <c r="A2782" s="1">
        <v>5.0</v>
      </c>
      <c r="B2782" s="1" t="s">
        <v>2760</v>
      </c>
      <c r="C2782" t="str">
        <f>IFERROR(__xludf.DUMMYFUNCTION("GOOGLETRANSLATE(B2782, ""fr"", ""en"")"),"super I let my review after one year of use, all this to say that it is shoes are really super quality, comfortable ,, you can buy eyes closed in your size! I play 43, I have received the 43 and make it 43 !! the best shoe I have ever had .... on top;) i "&amp;"would like to buy a pair but the same price increase too!")</f>
        <v>super I let my review after one year of use, all this to say that it is shoes are really super quality, comfortable ,, you can buy eyes closed in your size! I play 43, I have received the 43 and make it 43 !! the best shoe I have ever had .... on top;) i would like to buy a pair but the same price increase too!</v>
      </c>
    </row>
    <row r="2783">
      <c r="A2783" s="1">
        <v>5.0</v>
      </c>
      <c r="B2783" s="1" t="s">
        <v>2761</v>
      </c>
      <c r="C2783" t="str">
        <f>IFERROR(__xludf.DUMMYFUNCTION("GOOGLETRANSLATE(B2783, ""fr"", ""en"")"),"I 'Having already love the small box 72 I could not miss out on 120😁😁. The rods are thus based wax and numbered, arranged on 3 floors with elastic on each side for the lift. By cons, a strong smell of oil s' emerges (this is normal for these pencils). I"&amp;" have opted for a package rather than the tin I is not very convenient for them and the smell eventually fade s. Otherwise it is good quality. Some pencils are drier than others (the lightest in color of course) but there is a good pigmentation. For the p"&amp;"rice of 34 euros, do not deprive yourself! Castle art supplies is a company that rises and begins to be well known and recognized 😊😊")</f>
        <v>I 'Having already love the small box 72 I could not miss out on 120😁😁. The rods are thus based wax and numbered, arranged on 3 floors with elastic on each side for the lift. By cons, a strong smell of oil s' emerges (this is normal for these pencils). I have opted for a package rather than the tin I is not very convenient for them and the smell eventually fade s. Otherwise it is good quality. Some pencils are drier than others (the lightest in color of course) but there is a good pigmentation. For the price of 34 euros, do not deprive yourself! Castle art supplies is a company that rises and begins to be well known and recognized 😊😊</v>
      </c>
    </row>
    <row r="2784">
      <c r="A2784" s="1">
        <v>5.0</v>
      </c>
      <c r="B2784" s="1" t="s">
        <v>2762</v>
      </c>
      <c r="C2784" t="str">
        <f>IFERROR(__xludf.DUMMYFUNCTION("GOOGLETRANSLATE(B2784, ""fr"", ""en"")"),"It's great Excellent running shoes on road or path. From the first steps, a real feeling of comfort and dynamism. The damped is excellent, but without increasing the stride. Instead, it is pushed forward, allowing a dynamic race. I recommend it.")</f>
        <v>It's great Excellent running shoes on road or path. From the first steps, a real feeling of comfort and dynamism. The damped is excellent, but without increasing the stride. Instead, it is pushed forward, allowing a dynamic race. I recommend it.</v>
      </c>
    </row>
    <row r="2785">
      <c r="A2785" s="1">
        <v>5.0</v>
      </c>
      <c r="B2785" s="1" t="s">
        <v>2763</v>
      </c>
      <c r="C2785" t="str">
        <f>IFERROR(__xludf.DUMMYFUNCTION("GOOGLETRANSLATE(B2785, ""fr"", ""en"")"),"Pretty according to the description! Well, nothing to add!")</f>
        <v>Pretty according to the description! Well, nothing to add!</v>
      </c>
    </row>
    <row r="2786">
      <c r="A2786" s="1">
        <v>5.0</v>
      </c>
      <c r="B2786" s="1" t="s">
        <v>2764</v>
      </c>
      <c r="C2786" t="str">
        <f>IFERROR(__xludf.DUMMYFUNCTION("GOOGLETRANSLATE(B2786, ""fr"", ""en"")"),"pleasantly surprised in view of a comment that the jewelry was gold bling bling I was a little hesitant but I ve trusted the other comments because I love bq crystals and I am absolutely not disappointed ... Of course it shines .. BUT it is very nice and "&amp;"goes well with a black outfit that class with colorful clothes ... the only small touch that makes gold rose slightly gilded gold is the safety chain but frankly it s nothing !! So for fantasy I recommend ...")</f>
        <v>pleasantly surprised in view of a comment that the jewelry was gold bling bling I was a little hesitant but I ve trusted the other comments because I love bq crystals and I am absolutely not disappointed ... Of course it shines .. BUT it is very nice and goes well with a black outfit that class with colorful clothes ... the only small touch that makes gold rose slightly gilded gold is the safety chain but frankly it s nothing !! So for fantasy I recommend ...</v>
      </c>
    </row>
    <row r="2787">
      <c r="A2787" s="1">
        <v>5.0</v>
      </c>
      <c r="B2787" s="1" t="s">
        <v>2765</v>
      </c>
      <c r="C2787" t="str">
        <f>IFERROR(__xludf.DUMMYFUNCTION("GOOGLETRANSLATE(B2787, ""fr"", ""en"")"),"Perfect ! Simple and stylish")</f>
        <v>Perfect ! Simple and stylish</v>
      </c>
    </row>
    <row r="2788">
      <c r="A2788" s="1">
        <v>5.0</v>
      </c>
      <c r="B2788" s="1" t="s">
        <v>2766</v>
      </c>
      <c r="C2788" t="str">
        <f>IFERROR(__xludf.DUMMYFUNCTION("GOOGLETRANSLATE(B2788, ""fr"", ""en"")"),"Too nice size very well")</f>
        <v>Too nice size very well</v>
      </c>
    </row>
    <row r="2789">
      <c r="A2789" s="1">
        <v>5.0</v>
      </c>
      <c r="B2789" s="1" t="s">
        <v>2767</v>
      </c>
      <c r="C2789" t="str">
        <f>IFERROR(__xludf.DUMMYFUNCTION("GOOGLETRANSLATE(B2789, ""fr"", ""en"")"),"comfortable very comfortable because I did not hurt when I walk feet long. And this is rare with shoes is highly recommended price !!!")</f>
        <v>comfortable very comfortable because I did not hurt when I walk feet long. And this is rare with shoes is highly recommended price !!!</v>
      </c>
    </row>
    <row r="2790">
      <c r="A2790" s="1">
        <v>5.0</v>
      </c>
      <c r="B2790" s="1" t="s">
        <v>2768</v>
      </c>
      <c r="C2790" t="str">
        <f>IFERROR(__xludf.DUMMYFUNCTION("GOOGLETRANSLATE(B2790, ""fr"", ""en"")"),"Size good. Do ""moves"" not during the race. This legging size well. (And I'm picky because I always feel that this kind of tight clothing ""grown"" ...) I wear it to run: it does not move very comfortable. medium heat.")</f>
        <v>Size good. Do "moves" not during the race. This legging size well. (And I'm picky because I always feel that this kind of tight clothing "grown" ...) I wear it to run: it does not move very comfortable. medium heat.</v>
      </c>
    </row>
    <row r="2791">
      <c r="A2791" s="1">
        <v>2.0</v>
      </c>
      <c r="B2791" s="1" t="s">
        <v>2769</v>
      </c>
      <c r="C2791" t="str">
        <f>IFERROR(__xludf.DUMMYFUNCTION("GOOGLETRANSLATE(B2791, ""fr"", ""en"")"),"broken Hanses The bottle is very pretty. 2 The teats are well thought out. But I received the damaged item level hanses. My baby so can not be used. I informed the seller twice to find a solution to this problem but I have not yet received a response.")</f>
        <v>broken Hanses The bottle is very pretty. 2 The teats are well thought out. But I received the damaged item level hanses. My baby so can not be used. I informed the seller twice to find a solution to this problem but I have not yet received a response.</v>
      </c>
    </row>
    <row r="2792">
      <c r="A2792" s="1">
        <v>1.0</v>
      </c>
      <c r="B2792" s="1" t="s">
        <v>2770</v>
      </c>
      <c r="C2792" t="str">
        <f>IFERROR(__xludf.DUMMYFUNCTION("GOOGLETRANSLATE(B2792, ""fr"", ""en"")"),"Warning the cross indicated on the packaging does not match the opening of the teat not match up to my expectations, I thought the nipple was open on the cross and not it's just a hole. My child is thickened and thus milk it will not.")</f>
        <v>Warning the cross indicated on the packaging does not match the opening of the teat not match up to my expectations, I thought the nipple was open on the cross and not it's just a hole. My child is thickened and thus milk it will not.</v>
      </c>
    </row>
    <row r="2793">
      <c r="A2793" s="1">
        <v>1.0</v>
      </c>
      <c r="B2793" s="1" t="s">
        <v>2771</v>
      </c>
      <c r="C2793" t="str">
        <f>IFERROR(__xludf.DUMMYFUNCTION("GOOGLETRANSLATE(B2793, ""fr"", ""en"")"),"shoes only for the closet I recommend these shoes just to look at them. To walk with, I highly recommend. They held me 3 weeks.")</f>
        <v>shoes only for the closet I recommend these shoes just to look at them. To walk with, I highly recommend. They held me 3 weeks.</v>
      </c>
    </row>
    <row r="2794">
      <c r="A2794" s="1">
        <v>3.0</v>
      </c>
      <c r="B2794" s="1" t="s">
        <v>2772</v>
      </c>
      <c r="C2794" t="str">
        <f>IFERROR(__xludf.DUMMYFUNCTION("GOOGLETRANSLATE(B2794, ""fr"", ""en"")"),"Is closer to sweat jogging as a hoodie. Me disappointed but would appeal to others. I am bothered to note, I hesitate between 2 and 3 stars; and since I took 2 articles, I will put one of each. (But I also understand that a score of 4 or 5 stars would not"&amp;" be undeserved, but for my part I'm disappointed..) * EXTRAS: The printing is pretty and looks good. That's fine. The fabric in itself also seems good, a bit like elastic sweat sport. The delivery also OK. * THE LEAST: By cons, this small size and the tis"&amp;"sue is still very thin (though perhaps good, I do not doubt it). But big disappointment at the level of sensation. Autumn arrived I wanted sth of large and warm, a little ""moute-moute"" and I end up with a kind of big sock mold me well my overweight. Yet"&amp;" I took the L / XL (theoretically 114-134cm). At the same time, the fabric is too thin, wider would not have been pretty. It's not bad quality, but I am very disappointed issue ""heat"" and ""Comfort"". I wanted a hoodie in which I feel comfortable and wa"&amp;"rm in ""chill-and-netflix"" somehow; something large and warm. In conclusion, I would say it is rather a tracksuit sports a hoodie, actually. Be more appropriate for someone younger, dynamic and sporty? In the summer night. But I would not count on it to "&amp;"keep me warm come fall if I'm not already mobile and trying to burn calories at the base.")</f>
        <v>Is closer to sweat jogging as a hoodie. Me disappointed but would appeal to others. I am bothered to note, I hesitate between 2 and 3 stars; and since I took 2 articles, I will put one of each. (But I also understand that a score of 4 or 5 stars would not be undeserved, but for my part I'm disappointed..) * EXTRAS: The printing is pretty and looks good. That's fine. The fabric in itself also seems good, a bit like elastic sweat sport. The delivery also OK. * THE LEAST: By cons, this small size and the tissue is still very thin (though perhaps good, I do not doubt it). But big disappointment at the level of sensation. Autumn arrived I wanted sth of large and warm, a little "moute-moute" and I end up with a kind of big sock mold me well my overweight. Yet I took the L / XL (theoretically 114-134cm). At the same time, the fabric is too thin, wider would not have been pretty. It's not bad quality, but I am very disappointed issue "heat" and "Comfort". I wanted a hoodie in which I feel comfortable and warm in "chill-and-netflix" somehow; something large and warm. In conclusion, I would say it is rather a tracksuit sports a hoodie, actually. Be more appropriate for someone younger, dynamic and sporty? In the summer night. But I would not count on it to keep me warm come fall if I'm not already mobile and trying to burn calories at the base.</v>
      </c>
    </row>
    <row r="2795">
      <c r="A2795" s="1">
        <v>3.0</v>
      </c>
      <c r="B2795" s="1" t="s">
        <v>2773</v>
      </c>
      <c r="C2795" t="str">
        <f>IFERROR(__xludf.DUMMYFUNCTION("GOOGLETRANSLATE(B2795, ""fr"", ""en"")"),"Suitable packing a little cheap. Color a little garish that may suggest the photo. The yarn comes from both sides, I would have preferred one but it is not dramatic. For Sony the price is reasonable. That was a gift and the person was satisfied.")</f>
        <v>Suitable packing a little cheap. Color a little garish that may suggest the photo. The yarn comes from both sides, I would have preferred one but it is not dramatic. For Sony the price is reasonable. That was a gift and the person was satisfied.</v>
      </c>
    </row>
    <row r="2796">
      <c r="A2796" s="1">
        <v>4.0</v>
      </c>
      <c r="B2796" s="1" t="s">
        <v>2774</v>
      </c>
      <c r="C2796" t="str">
        <f>IFERROR(__xludf.DUMMYFUNCTION("GOOGLETRANSLATE(B2796, ""fr"", ""en"")"),"Comfortable but difficult mounting After mounting chair, he tolerates the back and head lets go back a bit, closes it changes enough other armchair where one piles, finished well (apparently). Regarding the installation if you do not like to force things,"&amp;" the internal thread for the screws on both sides of the lower support (back) was really hard to screw (even directly without anything attached) as well as the holes to screw the armrest law were a little too far even being unscrewed most possible armrest"&amp;" left much easier to screw. Notices seen no problem in order after a month, no doubt good chair.")</f>
        <v>Comfortable but difficult mounting After mounting chair, he tolerates the back and head lets go back a bit, closes it changes enough other armchair where one piles, finished well (apparently). Regarding the installation if you do not like to force things, the internal thread for the screws on both sides of the lower support (back) was really hard to screw (even directly without anything attached) as well as the holes to screw the armrest law were a little too far even being unscrewed most possible armrest left much easier to screw. Notices seen no problem in order after a month, no doubt good chair.</v>
      </c>
    </row>
    <row r="2797">
      <c r="A2797" s="1">
        <v>4.0</v>
      </c>
      <c r="B2797" s="1" t="s">
        <v>2775</v>
      </c>
      <c r="C2797" t="str">
        <f>IFERROR(__xludf.DUMMYFUNCTION("GOOGLETRANSLATE(B2797, ""fr"", ""en"")"),"Top Comfortable but the elasticity of the tissues relieves quickly to my taste")</f>
        <v>Top Comfortable but the elasticity of the tissues relieves quickly to my taste</v>
      </c>
    </row>
    <row r="2798">
      <c r="A2798" s="1">
        <v>4.0</v>
      </c>
      <c r="B2798" s="1" t="s">
        <v>2776</v>
      </c>
      <c r="C2798" t="str">
        <f>IFERROR(__xludf.DUMMYFUNCTION("GOOGLETRANSLATE(B2798, ""fr"", ""en"")"),"Met my expectation Super 😊")</f>
        <v>Met my expectation Super 😊</v>
      </c>
    </row>
    <row r="2799">
      <c r="A2799" s="1">
        <v>4.0</v>
      </c>
      <c r="B2799" s="1" t="s">
        <v>2777</v>
      </c>
      <c r="C2799" t="str">
        <f>IFERROR(__xludf.DUMMYFUNCTION("GOOGLETRANSLATE(B2799, ""fr"", ""en"")"),"A solid little big for me but good product")</f>
        <v>A solid little big for me but good product</v>
      </c>
    </row>
    <row r="2800">
      <c r="A2800" s="1">
        <v>5.0</v>
      </c>
      <c r="B2800" s="1" t="s">
        <v>2778</v>
      </c>
      <c r="C2800" t="str">
        <f>IFERROR(__xludf.DUMMYFUNCTION("GOOGLETRANSLATE(B2800, ""fr"", ""en"")"),"Treasury good value Done his job")</f>
        <v>Treasury good value Done his job</v>
      </c>
    </row>
    <row r="2801">
      <c r="A2801" s="1">
        <v>5.0</v>
      </c>
      <c r="B2801" s="1" t="s">
        <v>2779</v>
      </c>
      <c r="C2801" t="str">
        <f>IFERROR(__xludf.DUMMYFUNCTION("GOOGLETRANSLATE(B2801, ""fr"", ""en"")"),"Perfect Occurs well designed and has a sound and perfect bass has good battery life I'm glad product prices and higher but for the moment there is no better")</f>
        <v>Perfect Occurs well designed and has a sound and perfect bass has good battery life I'm glad product prices and higher but for the moment there is no better</v>
      </c>
    </row>
    <row r="2802">
      <c r="A2802" s="1">
        <v>5.0</v>
      </c>
      <c r="B2802" s="1" t="s">
        <v>2780</v>
      </c>
      <c r="C2802" t="str">
        <f>IFERROR(__xludf.DUMMYFUNCTION("GOOGLETRANSLATE(B2802, ""fr"", ""en"")"),"Vans shoes fit me well")</f>
        <v>Vans shoes fit me well</v>
      </c>
    </row>
    <row r="2803">
      <c r="A2803" s="1">
        <v>5.0</v>
      </c>
      <c r="B2803" s="1" t="s">
        <v>2781</v>
      </c>
      <c r="C2803" t="str">
        <f>IFERROR(__xludf.DUMMYFUNCTION("GOOGLETRANSLATE(B2803, ""fr"", ""en"")"),"Just what I was looking for a kettle sober and sympathetic look, robust and fast = Bosch quality. Attention stainless steel finish, the walls are obviously not cold when the water ends to heat (thermal conductivity requires).")</f>
        <v>Just what I was looking for a kettle sober and sympathetic look, robust and fast = Bosch quality. Attention stainless steel finish, the walls are obviously not cold when the water ends to heat (thermal conductivity requires).</v>
      </c>
    </row>
    <row r="2804">
      <c r="A2804" s="1">
        <v>5.0</v>
      </c>
      <c r="B2804" s="1" t="s">
        <v>2782</v>
      </c>
      <c r="C2804" t="str">
        <f>IFERROR(__xludf.DUMMYFUNCTION("GOOGLETRANSLATE(B2804, ""fr"", ""en"")"),"nice bag nice product, nice finish")</f>
        <v>nice bag nice product, nice finish</v>
      </c>
    </row>
    <row r="2805">
      <c r="A2805" s="1">
        <v>5.0</v>
      </c>
      <c r="B2805" s="1" t="s">
        <v>2783</v>
      </c>
      <c r="C2805" t="str">
        <f>IFERROR(__xludf.DUMMYFUNCTION("GOOGLETRANSLATE(B2805, ""fr"", ""en"")"),"Good product Great product, the only downside is the brightness of the screen a bit weak")</f>
        <v>Good product Great product, the only downside is the brightness of the screen a bit weak</v>
      </c>
    </row>
    <row r="2806">
      <c r="A2806" s="1">
        <v>5.0</v>
      </c>
      <c r="B2806" s="1" t="s">
        <v>2784</v>
      </c>
      <c r="C2806" t="str">
        <f>IFERROR(__xludf.DUMMYFUNCTION("GOOGLETRANSLATE(B2806, ""fr"", ""en"")"),"Perfect Very satisfied with this cool bag! I put two bottles and a box of milk powder is perfect, I recommend. FYI closure is orange. Very pretty and mixed.")</f>
        <v>Perfect Very satisfied with this cool bag! I put two bottles and a box of milk powder is perfect, I recommend. FYI closure is orange. Very pretty and mixed.</v>
      </c>
    </row>
    <row r="2807">
      <c r="A2807" s="1">
        <v>5.0</v>
      </c>
      <c r="B2807" s="1" t="s">
        <v>2785</v>
      </c>
      <c r="C2807" t="str">
        <f>IFERROR(__xludf.DUMMYFUNCTION("GOOGLETRANSLATE(B2807, ""fr"", ""en"")"),"Fully compliant Fully compliant Size Color Material Shape")</f>
        <v>Fully compliant Fully compliant Size Color Material Shape</v>
      </c>
    </row>
    <row r="2808">
      <c r="A2808" s="1">
        <v>5.0</v>
      </c>
      <c r="B2808" s="1" t="s">
        <v>2786</v>
      </c>
      <c r="C2808" t="str">
        <f>IFERROR(__xludf.DUMMYFUNCTION("GOOGLETRANSLATE(B2808, ""fr"", ""en"")"),"consistent with the perfect description")</f>
        <v>consistent with the perfect description</v>
      </c>
    </row>
    <row r="2809">
      <c r="A2809" s="1">
        <v>5.0</v>
      </c>
      <c r="B2809" s="1" t="s">
        <v>2787</v>
      </c>
      <c r="C2809" t="str">
        <f>IFERROR(__xludf.DUMMYFUNCTION("GOOGLETRANSLATE(B2809, ""fr"", ""en"")"),"It is an advantageous quite my expectations Under the handle there is a small thickness that prevents fingers from burning.")</f>
        <v>It is an advantageous quite my expectations Under the handle there is a small thickness that prevents fingers from burning.</v>
      </c>
    </row>
    <row r="2810">
      <c r="A2810" s="1">
        <v>5.0</v>
      </c>
      <c r="B2810" s="1" t="s">
        <v>2788</v>
      </c>
      <c r="C2810" t="str">
        <f>IFERROR(__xludf.DUMMYFUNCTION("GOOGLETRANSLATE(B2810, ""fr"", ""en"")"),"Nothing very good and good quality")</f>
        <v>Nothing very good and good quality</v>
      </c>
    </row>
    <row r="2811">
      <c r="A2811" s="1">
        <v>5.0</v>
      </c>
      <c r="B2811" s="1" t="s">
        <v>2789</v>
      </c>
      <c r="C2811" t="str">
        <f>IFERROR(__xludf.DUMMYFUNCTION("GOOGLETRANSLATE(B2811, ""fr"", ""en"")"),"Very good quality / price leather bag of high quality. A remarkable arrangement. Price very attractive.")</f>
        <v>Very good quality / price leather bag of high quality. A remarkable arrangement. Price very attractive.</v>
      </c>
    </row>
    <row r="2812">
      <c r="A2812" s="1">
        <v>5.0</v>
      </c>
      <c r="B2812" s="1" t="s">
        <v>2790</v>
      </c>
      <c r="C2812" t="str">
        <f>IFERROR(__xludf.DUMMYFUNCTION("GOOGLETRANSLATE(B2812, ""fr"", ""en"")"),"Set of 3 boxes of baking soda 3 × 500g Baking soda is widely known around the world, purchased in packs of 3, I am very happy with this good deal price, dear team thank you all.")</f>
        <v>Set of 3 boxes of baking soda 3 × 500g Baking soda is widely known around the world, purchased in packs of 3, I am very happy with this good deal price, dear team thank you all.</v>
      </c>
    </row>
    <row r="2813">
      <c r="A2813" s="1">
        <v>5.0</v>
      </c>
      <c r="B2813" s="1" t="s">
        <v>2791</v>
      </c>
      <c r="C2813" t="str">
        <f>IFERROR(__xludf.DUMMYFUNCTION("GOOGLETRANSLATE(B2813, ""fr"", ""en"")"),"Very good quality VGA cable product that works perfectly, the picture quality is very good")</f>
        <v>Very good quality VGA cable product that works perfectly, the picture quality is very good</v>
      </c>
    </row>
    <row r="2814">
      <c r="A2814" s="1">
        <v>5.0</v>
      </c>
      <c r="B2814" s="1" t="s">
        <v>2792</v>
      </c>
      <c r="C2814" t="str">
        <f>IFERROR(__xludf.DUMMYFUNCTION("GOOGLETRANSLATE(B2814, ""fr"", ""en"")"),"Nice product Nickel beautiful product (long enough for larger women) I recommend")</f>
        <v>Nice product Nickel beautiful product (long enough for larger women) I recommend</v>
      </c>
    </row>
    <row r="2815">
      <c r="A2815" s="1">
        <v>2.0</v>
      </c>
      <c r="B2815" s="1" t="s">
        <v>2793</v>
      </c>
      <c r="C2815" t="str">
        <f>IFERROR(__xludf.DUMMYFUNCTION("GOOGLETRANSLATE(B2815, ""fr"", ""en"")"),"Disappointed Unfortunately, while these socks are branded, and although they are terribly fragile and very thin ... I do not think I stand over 6 months with these socks ... Too bad.")</f>
        <v>Disappointed Unfortunately, while these socks are branded, and although they are terribly fragile and very thin ... I do not think I stand over 6 months with these socks ... Too bad.</v>
      </c>
    </row>
    <row r="2816">
      <c r="A2816" s="1">
        <v>1.0</v>
      </c>
      <c r="B2816" s="1" t="s">
        <v>2794</v>
      </c>
      <c r="C2816" t="str">
        <f>IFERROR(__xludf.DUMMYFUNCTION("GOOGLETRANSLATE(B2816, ""fr"", ""en"")"),"Attention Amazon sends the old model and not the one shown on the pictures !! Aside from the fact that it is the old model is on sale and not the one shown on the pictures, the product is good quality! Indeed, the product I received is an older model of t"&amp;"his bag. The pictures on the website (3rd photo), one can see a clip (with a scratch) on the padded pocket. Besides, it is also stated in the specifications provided by Amazon. The new models are those provided with the fastener. I deplore this deception "&amp;"and misleading advertising that while Amazon deposits looking to sell the stock of the old model who is unattached !! Customer service contacted by phone offered me a replacement, and assured me having ascended the information logistics: the problem is th"&amp;"at the second product received is also a former model! A refund was offered to me (although I expected that they re-engage to send me the right product and to compensate me), but how long can we afford to deceive customers as ? !!")</f>
        <v>Attention Amazon sends the old model and not the one shown on the pictures !! Aside from the fact that it is the old model is on sale and not the one shown on the pictures, the product is good quality! Indeed, the product I received is an older model of this bag. The pictures on the website (3rd photo), one can see a clip (with a scratch) on the padded pocket. Besides, it is also stated in the specifications provided by Amazon. The new models are those provided with the fastener. I deplore this deception and misleading advertising that while Amazon deposits looking to sell the stock of the old model who is unattached !! Customer service contacted by phone offered me a replacement, and assured me having ascended the information logistics: the problem is that the second product received is also a former model! A refund was offered to me (although I expected that they re-engage to send me the right product and to compensate me), but how long can we afford to deceive customers as ? !!</v>
      </c>
    </row>
    <row r="2817">
      <c r="A2817" s="1">
        <v>1.0</v>
      </c>
      <c r="B2817" s="1" t="s">
        <v>2795</v>
      </c>
      <c r="C2817" t="str">
        <f>IFERROR(__xludf.DUMMYFUNCTION("GOOGLETRANSLATE(B2817, ""fr"", ""en"")"),"Disappointment ! Hello, completely dissatisfied. 2 months I played with about 3-4 hours a day, buzzing during charging, plop noise and crackle, if the battery is empty you can not play with this one while charging even plugged in, loss of sound left side "&amp;"and the microphone and here today he did not even care ... I would be refunded. How to do ? Thank you")</f>
        <v>Disappointment ! Hello, completely dissatisfied. 2 months I played with about 3-4 hours a day, buzzing during charging, plop noise and crackle, if the battery is empty you can not play with this one while charging even plugged in, loss of sound left side and the microphone and here today he did not even care ... I would be refunded. How to do ? Thank you</v>
      </c>
    </row>
    <row r="2818">
      <c r="A2818" s="1">
        <v>3.0</v>
      </c>
      <c r="B2818" s="1" t="s">
        <v>2796</v>
      </c>
      <c r="C2818" t="str">
        <f>IFERROR(__xludf.DUMMYFUNCTION("GOOGLETRANSLATE(B2818, ""fr"", ""en"")"),"Good value for money!! As usual for Timberland Euro Sprint ..... Good shoes, wearable and beautiful cup. Size it right, most slightly larger than sports shoes as usual (allow 1/2 size larger than for sneakers, for those who do not know) The material is no"&amp;"t ordinary leather but a kind of din on top. However they do not seem so fragile. I pay around 100 euros and it is worth it.")</f>
        <v>Good value for money!! As usual for Timberland Euro Sprint ..... Good shoes, wearable and beautiful cup. Size it right, most slightly larger than sports shoes as usual (allow 1/2 size larger than for sneakers, for those who do not know) The material is not ordinary leather but a kind of din on top. However they do not seem so fragile. I pay around 100 euros and it is worth it.</v>
      </c>
    </row>
    <row r="2819">
      <c r="A2819" s="1">
        <v>4.0</v>
      </c>
      <c r="B2819" s="1" t="s">
        <v>2797</v>
      </c>
      <c r="C2819" t="str">
        <f>IFERROR(__xludf.DUMMYFUNCTION("GOOGLETRANSLATE(B2819, ""fr"", ""en"")"),"Size perfectly. Size great, great product.")</f>
        <v>Size perfectly. Size great, great product.</v>
      </c>
    </row>
    <row r="2820">
      <c r="A2820" s="1">
        <v>4.0</v>
      </c>
      <c r="B2820" s="1" t="s">
        <v>2798</v>
      </c>
      <c r="C2820" t="str">
        <f>IFERROR(__xludf.DUMMYFUNCTION("GOOGLETRANSLATE(B2820, ""fr"", ""en"")"),"Good product Very nice jewelry.")</f>
        <v>Good product Very nice jewelry.</v>
      </c>
    </row>
    <row r="2821">
      <c r="A2821" s="1">
        <v>4.0</v>
      </c>
      <c r="B2821" s="1" t="s">
        <v>2799</v>
      </c>
      <c r="C2821" t="str">
        <f>IFERROR(__xludf.DUMMYFUNCTION("GOOGLETRANSLATE(B2821, ""fr"", ""en"")"),"Correct Good product.")</f>
        <v>Correct Good product.</v>
      </c>
    </row>
    <row r="2822">
      <c r="A2822" s="1">
        <v>4.0</v>
      </c>
      <c r="B2822" s="1" t="s">
        <v>2800</v>
      </c>
      <c r="C2822" t="str">
        <f>IFERROR(__xludf.DUMMYFUNCTION("GOOGLETRANSLATE(B2822, ""fr"", ""en"")"),"Although thin paper but it is always good to have the gift paper in this amount because we always need. The price is good but the paper is thin enough, beware tears easily")</f>
        <v>Although thin paper but it is always good to have the gift paper in this amount because we always need. The price is good but the paper is thin enough, beware tears easily</v>
      </c>
    </row>
    <row r="2823">
      <c r="A2823" s="1">
        <v>5.0</v>
      </c>
      <c r="B2823" s="1" t="s">
        <v>2801</v>
      </c>
      <c r="C2823" t="str">
        <f>IFERROR(__xludf.DUMMYFUNCTION("GOOGLETRANSLATE(B2823, ""fr"", ""en"")"),"Good product. One clings a bit complicated Very nice watch. Works extremely well, no complaints. Keeps well in hand. The accriche is a bit difficult to pass but once done, no problem")</f>
        <v>Good product. One clings a bit complicated Very nice watch. Works extremely well, no complaints. Keeps well in hand. The accriche is a bit difficult to pass but once done, no problem</v>
      </c>
    </row>
    <row r="2824">
      <c r="A2824" s="1">
        <v>5.0</v>
      </c>
      <c r="B2824" s="1" t="s">
        <v>2802</v>
      </c>
      <c r="C2824" t="str">
        <f>IFERROR(__xludf.DUMMYFUNCTION("GOOGLETRANSLATE(B2824, ""fr"", ""en"")"),"great product I've tested several sprinklers for 3 years. I had never tried Tommee Tippee This time I wanted to try something other than what is found in supermarkets, so I tried this one. It is suitable for all baby bottles. I used to baby bottles of the"&amp;" same brand as for baby bottles was smaller neck competing brand. It is really perfect, holds good, solid, cleans effectively in all the corners. I recommend this product.")</f>
        <v>great product I've tested several sprinklers for 3 years. I had never tried Tommee Tippee This time I wanted to try something other than what is found in supermarkets, so I tried this one. It is suitable for all baby bottles. I used to baby bottles of the same brand as for baby bottles was smaller neck competing brand. It is really perfect, holds good, solid, cleans effectively in all the corners. I recommend this product.</v>
      </c>
    </row>
    <row r="2825">
      <c r="A2825" s="1">
        <v>5.0</v>
      </c>
      <c r="B2825" s="1" t="s">
        <v>2803</v>
      </c>
      <c r="C2825" t="str">
        <f>IFERROR(__xludf.DUMMYFUNCTION("GOOGLETRANSLATE(B2825, ""fr"", ""en"")"),"RAS is well for now RAS")</f>
        <v>RAS is well for now RAS</v>
      </c>
    </row>
    <row r="2826">
      <c r="A2826" s="1">
        <v>5.0</v>
      </c>
      <c r="B2826" s="1" t="s">
        <v>2804</v>
      </c>
      <c r="C2826" t="str">
        <f>IFERROR(__xludf.DUMMYFUNCTION("GOOGLETRANSLATE(B2826, ""fr"", ""en"")"),"true after a year, they are still alive !!! Suddenly a machine to wash and you're off again for several days")</f>
        <v>true after a year, they are still alive !!! Suddenly a machine to wash and you're off again for several days</v>
      </c>
    </row>
    <row r="2827">
      <c r="A2827" s="1">
        <v>5.0</v>
      </c>
      <c r="B2827" s="1" t="s">
        <v>2805</v>
      </c>
      <c r="C2827" t="str">
        <f>IFERROR(__xludf.DUMMYFUNCTION("GOOGLETRANSLATE(B2827, ""fr"", ""en"")"),"Top A simple product to use, design, diffusing essential oils desired. It makes the job well. I do not regret my purchase!")</f>
        <v>Top A simple product to use, design, diffusing essential oils desired. It makes the job well. I do not regret my purchase!</v>
      </c>
    </row>
    <row r="2828">
      <c r="A2828" s="1">
        <v>5.0</v>
      </c>
      <c r="B2828" s="1" t="s">
        <v>2806</v>
      </c>
      <c r="C2828" t="str">
        <f>IFERROR(__xludf.DUMMYFUNCTION("GOOGLETRANSLATE(B2828, ""fr"", ""en"")"),"Satisfied C is packed in the box. It easy recognition with Bluetooth and the sound quality is perfect. Clear. the first function is well on the karaoke.")</f>
        <v>Satisfied C is packed in the box. It easy recognition with Bluetooth and the sound quality is perfect. Clear. the first function is well on the karaoke.</v>
      </c>
    </row>
    <row r="2829">
      <c r="A2829" s="1">
        <v>5.0</v>
      </c>
      <c r="B2829" s="1" t="s">
        <v>2807</v>
      </c>
      <c r="C2829" t="str">
        <f>IFERROR(__xludf.DUMMYFUNCTION("GOOGLETRANSLATE(B2829, ""fr"", ""en"")"),"Solid and aesthetic I use it for 3 months in the train. Very good sound isolating well. The headset folds easily and fits perfectly in the holster. The helmet is solid and friendly design.")</f>
        <v>Solid and aesthetic I use it for 3 months in the train. Very good sound isolating well. The headset folds easily and fits perfectly in the holster. The helmet is solid and friendly design.</v>
      </c>
    </row>
    <row r="2830">
      <c r="A2830" s="1">
        <v>5.0</v>
      </c>
      <c r="B2830" s="1" t="s">
        <v>2808</v>
      </c>
      <c r="C2830" t="str">
        <f>IFERROR(__xludf.DUMMYFUNCTION("GOOGLETRANSLATE(B2830, ""fr"", ""en"")"),"Very good coffee I wanted a kettle temperature setting, I'm not disappointed by this model that I use every day with pleasure. Positives: - ease of use, the temperature setting is easily done - fast heat - Design - function to keep hot water - very easy p"&amp;"ayment without spilling water (this was the case of my old) - provided the filters Cons: - when one wishes to remove the kettle, the base tends to remain fixed, be careful not to take it with. Small design problem there - updating the filling gauge is not"&amp;" immediate")</f>
        <v>Very good coffee I wanted a kettle temperature setting, I'm not disappointed by this model that I use every day with pleasure. Positives: - ease of use, the temperature setting is easily done - fast heat - Design - function to keep hot water - very easy payment without spilling water (this was the case of my old) - provided the filters Cons: - when one wishes to remove the kettle, the base tends to remain fixed, be careful not to take it with. Small design problem there - updating the filling gauge is not immediate</v>
      </c>
    </row>
    <row r="2831">
      <c r="A2831" s="1">
        <v>5.0</v>
      </c>
      <c r="B2831" s="1" t="s">
        <v>2809</v>
      </c>
      <c r="C2831" t="str">
        <f>IFERROR(__xludf.DUMMYFUNCTION("GOOGLETRANSLATE(B2831, ""fr"", ""en"")"),"A bag beautiful and practical bag that is aesthetically beautiful, I put my wallet, my s7 edge and super short key practice. As for the brand I already had bags of this brand which lasted well so hopefully it will be the same for this one.")</f>
        <v>A bag beautiful and practical bag that is aesthetically beautiful, I put my wallet, my s7 edge and super short key practice. As for the brand I already had bags of this brand which lasted well so hopefully it will be the same for this one.</v>
      </c>
    </row>
    <row r="2832">
      <c r="A2832" s="1">
        <v>5.0</v>
      </c>
      <c r="B2832" s="1" t="s">
        <v>2810</v>
      </c>
      <c r="C2832" t="str">
        <f>IFERROR(__xludf.DUMMYFUNCTION("GOOGLETRANSLATE(B2832, ""fr"", ""en"")"),"nice stylish")</f>
        <v>nice stylish</v>
      </c>
    </row>
    <row r="2833">
      <c r="A2833" s="1">
        <v>5.0</v>
      </c>
      <c r="B2833" s="1" t="s">
        <v>2811</v>
      </c>
      <c r="C2833" t="str">
        <f>IFERROR(__xludf.DUMMYFUNCTION("GOOGLETRANSLATE(B2833, ""fr"", ""en"")"),"Very good product &lt;div id = ""video-block-RDCNMHLM2GPJ1"" class = ""a-section-spacing-small in-spacing-top mini video-block""&gt; &lt;/ div&gt; &lt;input type = ""hidden"" name = """" value = ""https://images-eu.ssl-images-amazon.com/images/I/B1++YMmbC8S.mp4"" class "&amp;"= ""video-url""&gt; &lt;input type = ""hidden"" name = """" value = ""https://images-eu.ssl-images-amazon.com/images/I/912ECkfZKLS.png"" class = ""video-slate-img-url""&gt; &amp; nbsp; This really is a great product in addition, you get 2 mics, suddenly we can enliven"&amp;" an evening 2 people, or as I did have fun at karaoke ... Very easy to install, for example I have connected to my sound bar, the instructions supplied also in french, the scope of the microphones has very good air, a really professional product for as am"&amp;"ateur, transportable everywhere.")</f>
        <v>Very good product &lt;div id = "video-block-RDCNMHLM2GPJ1" class = "a-section-spacing-small in-spacing-top mini video-block"&gt; &lt;/ div&gt; &lt;input type = "hidden" name = "" value = "https://images-eu.ssl-images-amazon.com/images/I/B1++YMmbC8S.mp4" class = "video-url"&gt; &lt;input type = "hidden" name = "" value = "https://images-eu.ssl-images-amazon.com/images/I/912ECkfZKLS.png" class = "video-slate-img-url"&gt; &amp; nbsp; This really is a great product in addition, you get 2 mics, suddenly we can enliven an evening 2 people, or as I did have fun at karaoke ... Very easy to install, for example I have connected to my sound bar, the instructions supplied also in french, the scope of the microphones has very good air, a really professional product for as amateur, transportable everywhere.</v>
      </c>
    </row>
    <row r="2834">
      <c r="A2834" s="1">
        <v>5.0</v>
      </c>
      <c r="B2834" s="1" t="s">
        <v>2812</v>
      </c>
      <c r="C2834" t="str">
        <f>IFERROR(__xludf.DUMMYFUNCTION("GOOGLETRANSLATE(B2834, ""fr"", ""en"")"),"well I offered this headset to my father for his birthday. Already, he was able to install one, so I would say it is easy to install. My father is very happy, the sound is good, and the helmet ""isolates"" more external noise than her previous headphones."&amp;" only downside, it is that according to the program, he has to climb a little sound of the TV, because even with the maximum helmet, he does not hear well. Overall, he is very satisfied.")</f>
        <v>well I offered this headset to my father for his birthday. Already, he was able to install one, so I would say it is easy to install. My father is very happy, the sound is good, and the helmet "isolates" more external noise than her previous headphones. only downside, it is that according to the program, he has to climb a little sound of the TV, because even with the maximum helmet, he does not hear well. Overall, he is very satisfied.</v>
      </c>
    </row>
    <row r="2835">
      <c r="A2835" s="1">
        <v>5.0</v>
      </c>
      <c r="B2835" s="1" t="s">
        <v>2813</v>
      </c>
      <c r="C2835" t="str">
        <f>IFERROR(__xludf.DUMMYFUNCTION("GOOGLETRANSLATE(B2835, ""fr"", ""en"")"),"Excellent or even more. Extraordinarily very well built, in fact burstable, manufactured in China, but quality american take with the close yeaux can be shine with creme Sapphire")</f>
        <v>Excellent or even more. Extraordinarily very well built, in fact burstable, manufactured in China, but quality american take with the close yeaux can be shine with creme Sapphire</v>
      </c>
    </row>
    <row r="2836">
      <c r="A2836" s="1">
        <v>5.0</v>
      </c>
      <c r="B2836" s="1" t="s">
        <v>2814</v>
      </c>
      <c r="C2836" t="str">
        <f>IFERROR(__xludf.DUMMYFUNCTION("GOOGLETRANSLATE(B2836, ""fr"", ""en"")"),"Bracelet Stone Bracelet very nice that holds up well to the wrist As the expected virtues, it is not obvious, but I bought it primarily for its aesthetics ..")</f>
        <v>Bracelet Stone Bracelet very nice that holds up well to the wrist As the expected virtues, it is not obvious, but I bought it primarily for its aesthetics ..</v>
      </c>
    </row>
    <row r="2837">
      <c r="A2837" s="1">
        <v>5.0</v>
      </c>
      <c r="B2837" s="1" t="s">
        <v>2815</v>
      </c>
      <c r="C2837" t="str">
        <f>IFERROR(__xludf.DUMMYFUNCTION("GOOGLETRANSLATE(B2837, ""fr"", ""en"")"),"Keeping quiet and listening Because reading moments are privileged moments with her child but also relaxation and especially the opportunity to give her child the desire to discover other stories and a love of books. I do not hesitate to put 5 stars becau"&amp;"se it's a beautiful book, a story that probes the child different reactions, different feelings. There is only one character, a boy named Camille but it will be visited by many animals. Camille has built a huge castle but now construction collapses. All a"&amp;"nimals come to comfort, each in his own way. Some advised him to scream, others store, laugh, revenge, etc., but Camille listens to no one until the rabbit is slowly approaches him ... The child discovers the history along with the images and made the acq"&amp;"uaintance of several animals. We can ask him how he would react instead of Camille and enable it to his feelings.")</f>
        <v>Keeping quiet and listening Because reading moments are privileged moments with her child but also relaxation and especially the opportunity to give her child the desire to discover other stories and a love of books. I do not hesitate to put 5 stars because it's a beautiful book, a story that probes the child different reactions, different feelings. There is only one character, a boy named Camille but it will be visited by many animals. Camille has built a huge castle but now construction collapses. All animals come to comfort, each in his own way. Some advised him to scream, others store, laugh, revenge, etc., but Camille listens to no one until the rabbit is slowly approaches him ... The child discovers the history along with the images and made the acquaintance of several animals. We can ask him how he would react instead of Camille and enable it to his feelings.</v>
      </c>
    </row>
    <row r="2838">
      <c r="A2838" s="1">
        <v>2.0</v>
      </c>
      <c r="B2838" s="1" t="s">
        <v>2816</v>
      </c>
      <c r="C2838" t="str">
        <f>IFERROR(__xludf.DUMMYFUNCTION("GOOGLETRANSLATE(B2838, ""fr"", ""en"")"),"Not bad ... when it works! At the reception we found it convenient since bcp do not take place. Then the heating time seemed sooooo long we especially when baby is hungry, and then the issue was resolved this morning no longer works. We bought there only "&amp;"a month !! Disappointed !!!")</f>
        <v>Not bad ... when it works! At the reception we found it convenient since bcp do not take place. Then the heating time seemed sooooo long we especially when baby is hungry, and then the issue was resolved this morning no longer works. We bought there only a month !! Disappointed !!!</v>
      </c>
    </row>
    <row r="2839">
      <c r="A2839" s="1">
        <v>1.0</v>
      </c>
      <c r="B2839" s="1" t="s">
        <v>2817</v>
      </c>
      <c r="C2839" t="str">
        <f>IFERROR(__xludf.DUMMYFUNCTION("GOOGLETRANSLATE(B2839, ""fr"", ""en"")"),"Disappointed by the mask and Amazon After using the elastic is torn. I did not select for this article a service return. Very disappointed by Amazon.")</f>
        <v>Disappointed by the mask and Amazon After using the elastic is torn. I did not select for this article a service return. Very disappointed by Amazon.</v>
      </c>
    </row>
    <row r="2840">
      <c r="A2840" s="1">
        <v>3.0</v>
      </c>
      <c r="B2840" s="1" t="s">
        <v>2818</v>
      </c>
      <c r="C2840" t="str">
        <f>IFERROR(__xludf.DUMMYFUNCTION("GOOGLETRANSLATE(B2840, ""fr"", ""en"")"),"Check in with rust spots: / At the opening, surprise tasks of oxidation on the basis of the product (see photos), which are not parties to the wash. Failure primarily aesthetic, but I'm still disappointed precisely because the aesthetic is one of the reas"&amp;"ons I wanted this kettle, the design is simple and makes good in my kitchen. Otherwise it is a good tea, I mean, it does its job. To see in time. Good value at first glance, fairly quiet compared to my old kettle and easy to clean. Happy with my purchase,"&amp;" despite its minor flaws.")</f>
        <v>Check in with rust spots: / At the opening, surprise tasks of oxidation on the basis of the product (see photos), which are not parties to the wash. Failure primarily aesthetic, but I'm still disappointed precisely because the aesthetic is one of the reasons I wanted this kettle, the design is simple and makes good in my kitchen. Otherwise it is a good tea, I mean, it does its job. To see in time. Good value at first glance, fairly quiet compared to my old kettle and easy to clean. Happy with my purchase, despite its minor flaws.</v>
      </c>
    </row>
    <row r="2841">
      <c r="A2841" s="1">
        <v>3.0</v>
      </c>
      <c r="B2841" s="1" t="s">
        <v>2819</v>
      </c>
      <c r="C2841" t="str">
        <f>IFERROR(__xludf.DUMMYFUNCTION("GOOGLETRANSLATE(B2841, ""fr"", ""en"")"),"For hiking shoes It does not seem appropriate for trail: too rigid and not enough cushioning. However for hiking it can do the trick. Warning, they tend to cut a bit large compared to running shoes.")</f>
        <v>For hiking shoes It does not seem appropriate for trail: too rigid and not enough cushioning. However for hiking it can do the trick. Warning, they tend to cut a bit large compared to running shoes.</v>
      </c>
    </row>
    <row r="2842">
      <c r="A2842" s="1">
        <v>4.0</v>
      </c>
      <c r="B2842" s="1" t="s">
        <v>2820</v>
      </c>
      <c r="C2842" t="str">
        <f>IFERROR(__xludf.DUMMYFUNCTION("GOOGLETRANSLATE(B2842, ""fr"", ""en"")"),"very nice watch I just received, consistent with the advertising, nice and works well; you choose the city (Paris) and it regulates itself :-) is lègère and seems solid. I recommend especially with the current price.")</f>
        <v>very nice watch I just received, consistent with the advertising, nice and works well; you choose the city (Paris) and it regulates itself :-) is lègère and seems solid. I recommend especially with the current price.</v>
      </c>
    </row>
    <row r="2843">
      <c r="A2843" s="1">
        <v>4.0</v>
      </c>
      <c r="B2843" s="1" t="s">
        <v>2821</v>
      </c>
      <c r="C2843" t="str">
        <f>IFERROR(__xludf.DUMMYFUNCTION("GOOGLETRANSLATE(B2843, ""fr"", ""en"")"),"Beautiful shoes Very nice pair of shoes that fits perfectly my expectations. This gift has brought joy to my brother")</f>
        <v>Beautiful shoes Very nice pair of shoes that fits perfectly my expectations. This gift has brought joy to my brother</v>
      </c>
    </row>
    <row r="2844">
      <c r="A2844" s="1">
        <v>4.0</v>
      </c>
      <c r="B2844" s="1" t="s">
        <v>1547</v>
      </c>
      <c r="C2844" t="str">
        <f>IFERROR(__xludf.DUMMYFUNCTION("GOOGLETRANSLATE(B2844, ""fr"", ""en"")"),"Ras Ras")</f>
        <v>Ras Ras</v>
      </c>
    </row>
    <row r="2845">
      <c r="A2845" s="1">
        <v>4.0</v>
      </c>
      <c r="B2845" s="1" t="s">
        <v>2822</v>
      </c>
      <c r="C2845" t="str">
        <f>IFERROR(__xludf.DUMMYFUNCTION("GOOGLETRANSLATE(B2845, ""fr"", ""en"")"),"beach shoe thank you for all your comments daughter shoes of 36 and 37 took the nickel Ormis that sizes are not very well suited nickel shoe")</f>
        <v>beach shoe thank you for all your comments daughter shoes of 36 and 37 took the nickel Ormis that sizes are not very well suited nickel shoe</v>
      </c>
    </row>
    <row r="2846">
      <c r="A2846" s="1">
        <v>5.0</v>
      </c>
      <c r="B2846" s="1" t="s">
        <v>2823</v>
      </c>
      <c r="C2846" t="str">
        <f>IFERROR(__xludf.DUMMYFUNCTION("GOOGLETRANSLATE(B2846, ""fr"", ""en"")"),"Excellent product! Our baby used in passed without worries this pacifier. It has 6 months now and we still use that size for 2 bottles containing milk only and size 4 for those with a slight addition of grain. The only thing I can criticize is a rubber ye"&amp;"llowing with use but it is aesthetic. I recommend without reservation ... Edit of 01/04/2016: rubber yellowing was from my wife who had mixed carrot in the bottle ... In any case he did was a yellowing plastic ... so goes a star my opinion.")</f>
        <v>Excellent product! Our baby used in passed without worries this pacifier. It has 6 months now and we still use that size for 2 bottles containing milk only and size 4 for those with a slight addition of grain. The only thing I can criticize is a rubber yellowing with use but it is aesthetic. I recommend without reservation ... Edit of 01/04/2016: rubber yellowing was from my wife who had mixed carrot in the bottle ... In any case he did was a yellowing plastic ... so goes a star my opinion.</v>
      </c>
    </row>
    <row r="2847">
      <c r="A2847" s="1">
        <v>5.0</v>
      </c>
      <c r="B2847" s="1" t="s">
        <v>2824</v>
      </c>
      <c r="C2847" t="str">
        <f>IFERROR(__xludf.DUMMYFUNCTION("GOOGLETRANSLATE(B2847, ""fr"", ""en"")"),"Superb Very nice, happy")</f>
        <v>Superb Very nice, happy</v>
      </c>
    </row>
    <row r="2848">
      <c r="A2848" s="1">
        <v>5.0</v>
      </c>
      <c r="B2848" s="1" t="s">
        <v>2825</v>
      </c>
      <c r="C2848" t="str">
        <f>IFERROR(__xludf.DUMMYFUNCTION("GOOGLETRANSLATE(B2848, ""fr"", ""en"")"),"Delighted with this purchase Color and size corresponding to my expectations")</f>
        <v>Delighted with this purchase Color and size corresponding to my expectations</v>
      </c>
    </row>
    <row r="2849">
      <c r="A2849" s="1">
        <v>5.0</v>
      </c>
      <c r="B2849" s="1" t="s">
        <v>2826</v>
      </c>
      <c r="C2849" t="str">
        <f>IFERROR(__xludf.DUMMYFUNCTION("GOOGLETRANSLATE(B2849, ""fr"", ""en"")"),"Very good I bought it for my son. Size fine and super quality! faster than expected delivery. I recommend this article")</f>
        <v>Very good I bought it for my son. Size fine and super quality! faster than expected delivery. I recommend this article</v>
      </c>
    </row>
    <row r="2850">
      <c r="A2850" s="1">
        <v>5.0</v>
      </c>
      <c r="B2850" s="1" t="s">
        <v>2827</v>
      </c>
      <c r="C2850" t="str">
        <f>IFERROR(__xludf.DUMMYFUNCTION("GOOGLETRANSLATE(B2850, ""fr"", ""en"")"),"perfect bottle This bottle I never get tired of having used several brand bottles is this bottle that has adapted most easily to my baby and especially for maintenance, it is very easy to wash and sterilize .")</f>
        <v>perfect bottle This bottle I never get tired of having used several brand bottles is this bottle that has adapted most easily to my baby and especially for maintenance, it is very easy to wash and sterilize .</v>
      </c>
    </row>
    <row r="2851">
      <c r="A2851" s="1">
        <v>5.0</v>
      </c>
      <c r="B2851" s="1" t="s">
        <v>2828</v>
      </c>
      <c r="C2851" t="str">
        <f>IFERROR(__xludf.DUMMYFUNCTION("GOOGLETRANSLATE(B2851, ""fr"", ""en"")"),"Very good very good price / quality ratio")</f>
        <v>Very good very good price / quality ratio</v>
      </c>
    </row>
    <row r="2852">
      <c r="A2852" s="1">
        <v>5.0</v>
      </c>
      <c r="B2852" s="1" t="s">
        <v>2829</v>
      </c>
      <c r="C2852" t="str">
        <f>IFERROR(__xludf.DUMMYFUNCTION("GOOGLETRANSLATE(B2852, ""fr"", ""en"")"),"Satisfied! Not many bottle pattern sold very satisfied then store this purchase and the pictures do not go in the dishwasher")</f>
        <v>Satisfied! Not many bottle pattern sold very satisfied then store this purchase and the pictures do not go in the dishwasher</v>
      </c>
    </row>
    <row r="2853">
      <c r="A2853" s="1">
        <v>5.0</v>
      </c>
      <c r="B2853" s="1" t="s">
        <v>2830</v>
      </c>
      <c r="C2853" t="str">
        <f>IFERROR(__xludf.DUMMYFUNCTION("GOOGLETRANSLATE(B2853, ""fr"", ""en"")"),"Excellent bag The bag is very beautiful, very simple, we feel that it is robust and stands well. Beware of the crocodile, it is metal and easily loses its paint if you rub against a wall for example")</f>
        <v>Excellent bag The bag is very beautiful, very simple, we feel that it is robust and stands well. Beware of the crocodile, it is metal and easily loses its paint if you rub against a wall for example</v>
      </c>
    </row>
    <row r="2854">
      <c r="A2854" s="1">
        <v>5.0</v>
      </c>
      <c r="B2854" s="1" t="s">
        <v>2831</v>
      </c>
      <c r="C2854" t="str">
        <f>IFERROR(__xludf.DUMMYFUNCTION("GOOGLETRANSLATE(B2854, ""fr"", ""en"")"),"Excellent Very good camera device that is felt in the high-end finishes. The product is also somewhat hanging limestone")</f>
        <v>Excellent Very good camera device that is felt in the high-end finishes. The product is also somewhat hanging limestone</v>
      </c>
    </row>
    <row r="2855">
      <c r="A2855" s="1">
        <v>5.0</v>
      </c>
      <c r="B2855" s="1" t="s">
        <v>2832</v>
      </c>
      <c r="C2855" t="str">
        <f>IFERROR(__xludf.DUMMYFUNCTION("GOOGLETRANSLATE(B2855, ""fr"", ""en"")"),"Okay Like all other products of this brand that I could use: solid, sober and functional. I can go a lot of things in, a 5.5 smartphone ""with its case, a checkbook, a big book, a pack of cigarettes ... Very good balance volume / size / number of storage")</f>
        <v>Okay Like all other products of this brand that I could use: solid, sober and functional. I can go a lot of things in, a 5.5 smartphone "with its case, a checkbook, a big book, a pack of cigarettes ... Very good balance volume / size / number of storage</v>
      </c>
    </row>
    <row r="2856">
      <c r="A2856" s="1">
        <v>5.0</v>
      </c>
      <c r="B2856" s="1" t="s">
        <v>2833</v>
      </c>
      <c r="C2856" t="str">
        <f>IFERROR(__xludf.DUMMYFUNCTION("GOOGLETRANSLATE(B2856, ""fr"", ""en"")"),"Top Easy to assemble, transport and washing, elegant and good quality! No complaints")</f>
        <v>Top Easy to assemble, transport and washing, elegant and good quality! No complaints</v>
      </c>
    </row>
    <row r="2857">
      <c r="A2857" s="1">
        <v>5.0</v>
      </c>
      <c r="B2857" s="1" t="s">
        <v>2834</v>
      </c>
      <c r="C2857" t="str">
        <f>IFERROR(__xludf.DUMMYFUNCTION("GOOGLETRANSLATE(B2857, ""fr"", ""en"")"),"My wife loves ""Different vibration modes depending on your mood and your wishes. The battery is used for a long time, the product is not too noisy, I recommend it!""")</f>
        <v>My wife loves "Different vibration modes depending on your mood and your wishes. The battery is used for a long time, the product is not too noisy, I recommend it!"</v>
      </c>
    </row>
    <row r="2858">
      <c r="A2858" s="1">
        <v>5.0</v>
      </c>
      <c r="B2858" s="1" t="s">
        <v>2835</v>
      </c>
      <c r="C2858" t="str">
        <f>IFERROR(__xludf.DUMMYFUNCTION("GOOGLETRANSLATE(B2858, ""fr"", ""en"")"),"Well frankly it's fine I use them for home")</f>
        <v>Well frankly it's fine I use them for home</v>
      </c>
    </row>
    <row r="2859">
      <c r="A2859" s="1">
        <v>5.0</v>
      </c>
      <c r="B2859" s="1" t="s">
        <v>2836</v>
      </c>
      <c r="C2859" t="str">
        <f>IFERROR(__xludf.DUMMYFUNCTION("GOOGLETRANSLATE(B2859, ""fr"", ""en"")"),"Legendary Few objects can claim to be legendary, this watch is one of them. She has topped the wrist of famous people (young obama) but African 50 and over swear by it. It shows the time, made the clock, lights with difficulty, and affirms its presence by"&amp;" two high beeps every hour (on / off), it does nothing else, but it's a legend.")</f>
        <v>Legendary Few objects can claim to be legendary, this watch is one of them. She has topped the wrist of famous people (young obama) but African 50 and over swear by it. It shows the time, made the clock, lights with difficulty, and affirms its presence by two high beeps every hour (on / off), it does nothing else, but it's a legend.</v>
      </c>
    </row>
    <row r="2860">
      <c r="A2860" s="1">
        <v>5.0</v>
      </c>
      <c r="B2860" s="1" t="s">
        <v>2837</v>
      </c>
      <c r="C2860" t="str">
        <f>IFERROR(__xludf.DUMMYFUNCTION("GOOGLETRANSLATE(B2860, ""fr"", ""en"")"),"That happiness Wow beautiful helmet 🎧 excellent quality super well packed I took with Marshall case like that when I hand in my travels 🎧 my helmet will protect well ideal because it is wired headset or Bluetooth lights frankly you can please view the q"&amp;"uality of the helmet Amazon congratulations and thank you !!! I always find my happiness at Amazon ❤️")</f>
        <v>That happiness Wow beautiful helmet 🎧 excellent quality super well packed I took with Marshall case like that when I hand in my travels 🎧 my helmet will protect well ideal because it is wired headset or Bluetooth lights frankly you can please view the quality of the helmet Amazon congratulations and thank you !!! I always find my happiness at Amazon ❤️</v>
      </c>
    </row>
    <row r="2861">
      <c r="A2861" s="1">
        <v>2.0</v>
      </c>
      <c r="B2861" s="1" t="s">
        <v>2838</v>
      </c>
      <c r="C2861" t="str">
        <f>IFERROR(__xludf.DUMMYFUNCTION("GOOGLETRANSLATE(B2861, ""fr"", ""en"")"),"Not convinced dutout not good material, consistent size and good print. shameful stitching on the sleeves!")</f>
        <v>Not convinced dutout not good material, consistent size and good print. shameful stitching on the sleeves!</v>
      </c>
    </row>
    <row r="2862">
      <c r="A2862" s="1">
        <v>1.0</v>
      </c>
      <c r="B2862" s="1" t="s">
        <v>2839</v>
      </c>
      <c r="C2862" t="str">
        <f>IFERROR(__xludf.DUMMYFUNCTION("GOOGLETRANSLATE(B2862, ""fr"", ""en"")"),"Good product I use it in the life of every day and the day to day rotation after the week I work half is only 2 days that works")</f>
        <v>Good product I use it in the life of every day and the day to day rotation after the week I work half is only 2 days that works</v>
      </c>
    </row>
    <row r="2863">
      <c r="A2863" s="1">
        <v>1.0</v>
      </c>
      <c r="B2863" s="1" t="s">
        <v>2840</v>
      </c>
      <c r="C2863" t="str">
        <f>IFERROR(__xludf.DUMMYFUNCTION("GOOGLETRANSLATE(B2863, ""fr"", ""en"")"),"not huge attention for the photo, I was expecting a large coil: not everything about 10cm high. Brief c is to troubleshoot the garden.")</f>
        <v>not huge attention for the photo, I was expecting a large coil: not everything about 10cm high. Brief c is to troubleshoot the garden.</v>
      </c>
    </row>
    <row r="2864">
      <c r="A2864" s="1">
        <v>3.0</v>
      </c>
      <c r="B2864" s="1" t="s">
        <v>2841</v>
      </c>
      <c r="C2864" t="str">
        <f>IFERROR(__xludf.DUMMYFUNCTION("GOOGLETRANSLATE(B2864, ""fr"", ""en"")"),"Necklace for woman I put only 3 stars to this product. The chain is very fine .... So disappointed in this product ..")</f>
        <v>Necklace for woman I put only 3 stars to this product. The chain is very fine .... So disappointed in this product ..</v>
      </c>
    </row>
    <row r="2865">
      <c r="A2865" s="1">
        <v>3.0</v>
      </c>
      <c r="B2865" s="1" t="s">
        <v>2842</v>
      </c>
      <c r="C2865" t="str">
        <f>IFERROR(__xludf.DUMMYFUNCTION("GOOGLETRANSLATE(B2865, ""fr"", ""en"")"),"ca goes without more I love this headphone can lie flat, I like that it's quiet, and the sound is correct. As against the ear glide over my ears when I bend the head, and therefore tend to fall (I like to listen to music while cleaning!). A little frustra"&amp;"ting.")</f>
        <v>ca goes without more I love this headphone can lie flat, I like that it's quiet, and the sound is correct. As against the ear glide over my ears when I bend the head, and therefore tend to fall (I like to listen to music while cleaning!). A little frustrating.</v>
      </c>
    </row>
    <row r="2866">
      <c r="A2866" s="1">
        <v>4.0</v>
      </c>
      <c r="B2866" s="1" t="s">
        <v>2843</v>
      </c>
      <c r="C2866" t="str">
        <f>IFERROR(__xludf.DUMMYFUNCTION("GOOGLETRANSLATE(B2866, ""fr"", ""en"")"),"N There is no noise, and easy to use. For the interior, it also works to repel mosquitoes ...")</f>
        <v>N There is no noise, and easy to use. For the interior, it also works to repel mosquitoes ...</v>
      </c>
    </row>
    <row r="2867">
      <c r="A2867" s="1">
        <v>4.0</v>
      </c>
      <c r="B2867" s="1" t="s">
        <v>2844</v>
      </c>
      <c r="C2867" t="str">
        <f>IFERROR(__xludf.DUMMYFUNCTION("GOOGLETRANSLATE(B2867, ""fr"", ""en"")"),"Top Very nice, very good cushioning and very light for me who walk a lot at work. Very pleased with these safety shoes")</f>
        <v>Top Very nice, very good cushioning and very light for me who walk a lot at work. Very pleased with these safety shoes</v>
      </c>
    </row>
    <row r="2868">
      <c r="A2868" s="1">
        <v>4.0</v>
      </c>
      <c r="B2868" s="1" t="s">
        <v>2845</v>
      </c>
      <c r="C2868" t="str">
        <f>IFERROR(__xludf.DUMMYFUNCTION("GOOGLETRANSLATE(B2868, ""fr"", ""en"")"),"Good quality large size")</f>
        <v>Good quality large size</v>
      </c>
    </row>
    <row r="2869">
      <c r="A2869" s="1">
        <v>4.0</v>
      </c>
      <c r="B2869" s="1" t="s">
        <v>2846</v>
      </c>
      <c r="C2869" t="str">
        <f>IFERROR(__xludf.DUMMYFUNCTION("GOOGLETRANSLATE(B2869, ""fr"", ""en"")"),"Good 👍🏼 headphone high quality headphones, perfect, only negative but really to say a negative thing it is a bit big even folded but it's really difficult to do. This is the 2nd I buy a gift for the second and final for me because it is really great and"&amp;" super delivery rapide.👍🏼👍🏼👍🏼 For the life I can not say because the first 8mois helmet and mine 3JR. The helmet 5-6jr yours with an average of 2 hours of no day use. And the connection jack is appreciable when one has no battery.")</f>
        <v>Good 👍🏼 headphone high quality headphones, perfect, only negative but really to say a negative thing it is a bit big even folded but it's really difficult to do. This is the 2nd I buy a gift for the second and final for me because it is really great and super delivery rapide.👍🏼👍🏼👍🏼 For the life I can not say because the first 8mois helmet and mine 3JR. The helmet 5-6jr yours with an average of 2 hours of no day use. And the connection jack is appreciable when one has no battery.</v>
      </c>
    </row>
    <row r="2870">
      <c r="A2870" s="1">
        <v>5.0</v>
      </c>
      <c r="B2870" s="1" t="s">
        <v>2847</v>
      </c>
      <c r="C2870" t="str">
        <f>IFERROR(__xludf.DUMMYFUNCTION("GOOGLETRANSLATE(B2870, ""fr"", ""en"")"),"Very nice Nothing to say everything is perfect")</f>
        <v>Very nice Nothing to say everything is perfect</v>
      </c>
    </row>
    <row r="2871">
      <c r="A2871" s="1">
        <v>5.0</v>
      </c>
      <c r="B2871" s="1" t="s">
        <v>2848</v>
      </c>
      <c r="C2871" t="str">
        <f>IFERROR(__xludf.DUMMYFUNCTION("GOOGLETRANSLATE(B2871, ""fr"", ""en"")"),"Beautiful shoe quality good, it cut it right in there inside fur, and yours truly hot. This winter is going to have cold feet. Shoe box is of good quality, it can be used for my attic. shoe recommend")</f>
        <v>Beautiful shoe quality good, it cut it right in there inside fur, and yours truly hot. This winter is going to have cold feet. Shoe box is of good quality, it can be used for my attic. shoe recommend</v>
      </c>
    </row>
    <row r="2872">
      <c r="A2872" s="1">
        <v>5.0</v>
      </c>
      <c r="B2872" s="1" t="s">
        <v>1687</v>
      </c>
      <c r="C2872" t="str">
        <f>IFERROR(__xludf.DUMMYFUNCTION("GOOGLETRANSLATE(B2872, ""fr"", ""en"")"),"Super Super")</f>
        <v>Super Super</v>
      </c>
    </row>
    <row r="2873">
      <c r="A2873" s="1">
        <v>5.0</v>
      </c>
      <c r="B2873" s="1" t="s">
        <v>2849</v>
      </c>
      <c r="C2873" t="str">
        <f>IFERROR(__xludf.DUMMYFUNCTION("GOOGLETRANSLATE(B2873, ""fr"", ""en"")"),"Old Skool Good shoes Vans. The delivery is fast, the size is perfect. Correspond to the description by the seller.")</f>
        <v>Old Skool Good shoes Vans. The delivery is fast, the size is perfect. Correspond to the description by the seller.</v>
      </c>
    </row>
    <row r="2874">
      <c r="A2874" s="1">
        <v>5.0</v>
      </c>
      <c r="B2874" s="1" t="s">
        <v>2850</v>
      </c>
      <c r="C2874" t="str">
        <f>IFERROR(__xludf.DUMMYFUNCTION("GOOGLETRANSLATE(B2874, ""fr"", ""en"")"),"Great ! Great ! Sweet as expected, no problem size, perfect! I can highly recommend it ideal for sports like hang out at home")</f>
        <v>Great ! Great ! Sweet as expected, no problem size, perfect! I can highly recommend it ideal for sports like hang out at home</v>
      </c>
    </row>
    <row r="2875">
      <c r="A2875" s="1">
        <v>5.0</v>
      </c>
      <c r="B2875" s="1" t="s">
        <v>2851</v>
      </c>
      <c r="C2875" t="str">
        <f>IFERROR(__xludf.DUMMYFUNCTION("GOOGLETRANSLATE(B2875, ""fr"", ""en"")"),"really very beautiful and very class shows class I board")</f>
        <v>really very beautiful and very class shows class I board</v>
      </c>
    </row>
    <row r="2876">
      <c r="A2876" s="1">
        <v>5.0</v>
      </c>
      <c r="B2876" s="1" t="s">
        <v>2852</v>
      </c>
      <c r="C2876" t="str">
        <f>IFERROR(__xludf.DUMMYFUNCTION("GOOGLETRANSLATE(B2876, ""fr"", ""en"")"),"Highly recommended for fans Gift for my daughter, she was ecstatic !!!! The sweet corresponds to the description, it normal size. No problems with washing.")</f>
        <v>Highly recommended for fans Gift for my daughter, she was ecstatic !!!! The sweet corresponds to the description, it normal size. No problems with washing.</v>
      </c>
    </row>
    <row r="2877">
      <c r="A2877" s="1">
        <v>5.0</v>
      </c>
      <c r="B2877" s="1" t="s">
        <v>2853</v>
      </c>
      <c r="C2877" t="str">
        <f>IFERROR(__xludf.DUMMYFUNCTION("GOOGLETRANSLATE(B2877, ""fr"", ""en"")"),"Son Quality Quality glad nickel nickel")</f>
        <v>Son Quality Quality glad nickel nickel</v>
      </c>
    </row>
    <row r="2878">
      <c r="A2878" s="1">
        <v>5.0</v>
      </c>
      <c r="B2878" s="1" t="s">
        <v>2854</v>
      </c>
      <c r="C2878" t="str">
        <f>IFERROR(__xludf.DUMMYFUNCTION("GOOGLETRANSLATE(B2878, ""fr"", ""en"")"),"Yes great product I love beloved")</f>
        <v>Yes great product I love beloved</v>
      </c>
    </row>
    <row r="2879">
      <c r="A2879" s="1">
        <v>5.0</v>
      </c>
      <c r="B2879" s="1" t="s">
        <v>2855</v>
      </c>
      <c r="C2879" t="str">
        <f>IFERROR(__xludf.DUMMYFUNCTION("GOOGLETRANSLATE(B2879, ""fr"", ""en"")"),"leggings striped stripes give the style I am very happy with this legging.")</f>
        <v>leggings striped stripes give the style I am very happy with this legging.</v>
      </c>
    </row>
    <row r="2880">
      <c r="A2880" s="1">
        <v>5.0</v>
      </c>
      <c r="B2880" s="1" t="s">
        <v>2856</v>
      </c>
      <c r="C2880" t="str">
        <f>IFERROR(__xludf.DUMMYFUNCTION("GOOGLETRANSLATE(B2880, ""fr"", ""en"")"),"Men's Watch Casio Wave Ceptor LCW-M100DSE Very happy with this purchase. The only complaint record is very small. Not easy to handle.")</f>
        <v>Men's Watch Casio Wave Ceptor LCW-M100DSE Very happy with this purchase. The only complaint record is very small. Not easy to handle.</v>
      </c>
    </row>
    <row r="2881">
      <c r="A2881" s="1">
        <v>5.0</v>
      </c>
      <c r="B2881" s="1" t="s">
        <v>2857</v>
      </c>
      <c r="C2881" t="str">
        <f>IFERROR(__xludf.DUMMYFUNCTION("GOOGLETRANSLATE(B2881, ""fr"", ""en"")"),"I am very satisfied bracelet fine looking. My wife loves it and the door often, I am very satisfied, I recommend it perfect.")</f>
        <v>I am very satisfied bracelet fine looking. My wife loves it and the door often, I am very satisfied, I recommend it perfect.</v>
      </c>
    </row>
    <row r="2882">
      <c r="A2882" s="1">
        <v>5.0</v>
      </c>
      <c r="B2882" s="1" t="s">
        <v>2858</v>
      </c>
      <c r="C2882" t="str">
        <f>IFERROR(__xludf.DUMMYFUNCTION("GOOGLETRANSLATE(B2882, ""fr"", ""en"")"),"Very nice article of the description. Although a bit heavy my daughter loved")</f>
        <v>Very nice article of the description. Although a bit heavy my daughter loved</v>
      </c>
    </row>
    <row r="2883">
      <c r="A2883" s="1">
        <v>5.0</v>
      </c>
      <c r="B2883" s="1" t="s">
        <v>2859</v>
      </c>
      <c r="C2883" t="str">
        <f>IFERROR(__xludf.DUMMYFUNCTION("GOOGLETRANSLATE(B2883, ""fr"", ""en"")"),"What a time saver for Mom This baby bottle praprateur is the best the market currently. It allows not check whether the amount of water or milk is good, whether to add or remove all done automlatiquement. I recommend this product as a gift of birth !!!")</f>
        <v>What a time saver for Mom This baby bottle praprateur is the best the market currently. It allows not check whether the amount of water or milk is good, whether to add or remove all done automlatiquement. I recommend this product as a gift of birth !!!</v>
      </c>
    </row>
    <row r="2884">
      <c r="A2884" s="1">
        <v>5.0</v>
      </c>
      <c r="B2884" s="1" t="s">
        <v>2860</v>
      </c>
      <c r="C2884" t="str">
        <f>IFERROR(__xludf.DUMMYFUNCTION("GOOGLETRANSLATE(B2884, ""fr"", ""en"")"),"Impeccable for outdoor dining ... And for the nights! Impeccable for outdoor dining ... And for the nights!")</f>
        <v>Impeccable for outdoor dining ... And for the nights! Impeccable for outdoor dining ... And for the nights!</v>
      </c>
    </row>
    <row r="2885">
      <c r="A2885" s="1">
        <v>2.0</v>
      </c>
      <c r="B2885" s="1" t="s">
        <v>2861</v>
      </c>
      <c r="C2885" t="str">
        <f>IFERROR(__xludf.DUMMYFUNCTION("GOOGLETRANSLATE(B2885, ""fr"", ""en"")"),"That is very pretty shoes, but its size is small, I had to return the first pair (allow 1 size and more - I'm used to this brand and normally, I know the size) + fairly narrow. And not very comfortable on rough terrain due to lateral support scavenger: na"&amp;"rrow sole with good grip, but the fool spikes high enough, so ,, foot hand fast enough laterally: attention to ankles ... (I had alerts with the foot that is embarking on the side)")</f>
        <v>That is very pretty shoes, but its size is small, I had to return the first pair (allow 1 size and more - I'm used to this brand and normally, I know the size) + fairly narrow. And not very comfortable on rough terrain due to lateral support scavenger: narrow sole with good grip, but the fool spikes high enough, so ,, foot hand fast enough laterally: attention to ankles ... (I had alerts with the foot that is embarking on the side)</v>
      </c>
    </row>
    <row r="2886">
      <c r="A2886" s="1">
        <v>1.0</v>
      </c>
      <c r="B2886" s="1" t="s">
        <v>2862</v>
      </c>
      <c r="C2886" t="str">
        <f>IFERROR(__xludf.DUMMYFUNCTION("GOOGLETRANSLATE(B2886, ""fr"", ""en"")"),"blah Poor quality cotton. Transparency on the t-shirt and low-end finishes.")</f>
        <v>blah Poor quality cotton. Transparency on the t-shirt and low-end finishes.</v>
      </c>
    </row>
    <row r="2887">
      <c r="A2887" s="1">
        <v>1.0</v>
      </c>
      <c r="B2887" s="1" t="s">
        <v>2863</v>
      </c>
      <c r="C2887" t="str">
        <f>IFERROR(__xludf.DUMMYFUNCTION("GOOGLETRANSLATE(B2887, ""fr"", ""en"")"),"2 broken frangible closures which 1 disjointed. Many but inaccessible pockets when they are filled. To avoid. To avoid. To avoid")</f>
        <v>2 broken frangible closures which 1 disjointed. Many but inaccessible pockets when they are filled. To avoid. To avoid. To avoid</v>
      </c>
    </row>
    <row r="2888">
      <c r="A2888" s="1">
        <v>3.0</v>
      </c>
      <c r="B2888" s="1" t="s">
        <v>2864</v>
      </c>
      <c r="C2888" t="str">
        <f>IFERROR(__xludf.DUMMYFUNCTION("GOOGLETRANSLATE(B2888, ""fr"", ""en"")"),"I think originally required the country of manufacture should be on the presentation of the product. When a brand to a multi-sourcing it is important to know where the products.")</f>
        <v>I think originally required the country of manufacture should be on the presentation of the product. When a brand to a multi-sourcing it is important to know where the products.</v>
      </c>
    </row>
    <row r="2889">
      <c r="A2889" s="1">
        <v>4.0</v>
      </c>
      <c r="B2889" s="1" t="s">
        <v>2865</v>
      </c>
      <c r="C2889" t="str">
        <f>IFERROR(__xludf.DUMMYFUNCTION("GOOGLETRANSLATE(B2889, ""fr"", ""en"")"),"Autonomy and reception quality after reading the various comments, I worried about the sound quality and numerous cuts outlined in the comments while listening. I've used these headphones with different interfaces and it appears that according to the mean"&amp;"s used (tablet or phone or amp), listening stability is not the same without crippling beings because only with my smartphone j 'I had the cuts and a level of its relatively strong. This assessment is also valid as the quality of the recording or streamin"&amp;"g listened. For my part I am very satisfied with the sound quality and especially on the reception quality. I use these headphones for different activities (sports, crafts, listening to music in the house) and I appreciate the good reception in every room"&amp;" and even when I lose connection dice I'll be back in a coverage area headphones reconnect automatically.")</f>
        <v>Autonomy and reception quality after reading the various comments, I worried about the sound quality and numerous cuts outlined in the comments while listening. I've used these headphones with different interfaces and it appears that according to the means used (tablet or phone or amp), listening stability is not the same without crippling beings because only with my smartphone j 'I had the cuts and a level of its relatively strong. This assessment is also valid as the quality of the recording or streaming listened. For my part I am very satisfied with the sound quality and especially on the reception quality. I use these headphones for different activities (sports, crafts, listening to music in the house) and I appreciate the good reception in every room and even when I lose connection dice I'll be back in a coverage area headphones reconnect automatically.</v>
      </c>
    </row>
    <row r="2890">
      <c r="A2890" s="1">
        <v>4.0</v>
      </c>
      <c r="B2890" s="1" t="s">
        <v>2866</v>
      </c>
      <c r="C2890" t="str">
        <f>IFERROR(__xludf.DUMMYFUNCTION("GOOGLETRANSLATE(B2890, ""fr"", ""en"")"),"Very hot ! I have an extremely timid husband feet and who spent his time complaining. I offered these slippers. It adoooorrrrree !! he said he finally warm! By cons they actually Shoe little. My husband made the 44/45 and I took him 46 which suits him ver"&amp;"y well.")</f>
        <v>Very hot ! I have an extremely timid husband feet and who spent his time complaining. I offered these slippers. It adoooorrrrree !! he said he finally warm! By cons they actually Shoe little. My husband made the 44/45 and I took him 46 which suits him very well.</v>
      </c>
    </row>
    <row r="2891">
      <c r="A2891" s="1">
        <v>4.0</v>
      </c>
      <c r="B2891" s="1" t="s">
        <v>2867</v>
      </c>
      <c r="C2891" t="str">
        <f>IFERROR(__xludf.DUMMYFUNCTION("GOOGLETRANSLATE(B2891, ""fr"", ""en"")"),"Good practice produces good product, very handy for drying bottles. Do not take too much space on the worktop. The colors are nice. For cons, the gutter to collect water is not very large and everything is plastic (hence the 4/5 for strength)")</f>
        <v>Good practice produces good product, very handy for drying bottles. Do not take too much space on the worktop. The colors are nice. For cons, the gutter to collect water is not very large and everything is plastic (hence the 4/5 for strength)</v>
      </c>
    </row>
    <row r="2892">
      <c r="A2892" s="1">
        <v>4.0</v>
      </c>
      <c r="B2892" s="1" t="s">
        <v>2868</v>
      </c>
      <c r="C2892" t="str">
        <f>IFERROR(__xludf.DUMMYFUNCTION("GOOGLETRANSLATE(B2892, ""fr"", ""en"")"),"bright and beautiful It's a great kettle of a large capacity (1.7 liters) whose particularity is to light up in blue when the water heater. Nice design modern glass and chrome steel and fine quality for this kettle that is stable and easy to handle, the l"&amp;"id opens with a pressure on the handle and reaches the boil quickly. Although compact, it occupies little space and visually provides an indicator through the drawing of a small cup, handy when you have a small amount of heating. What makes its beauty is "&amp;"also a disadvantage because the walls of the glass kettle are very hot when running and tartar quickly tarnishes even using spring water, it is necessary to regularly operate with water containing alcohol vinegar to it regains its radiance, at least every"&amp;" two or three days in case of repeated use, and it quickly becomes binding")</f>
        <v>bright and beautiful It's a great kettle of a large capacity (1.7 liters) whose particularity is to light up in blue when the water heater. Nice design modern glass and chrome steel and fine quality for this kettle that is stable and easy to handle, the lid opens with a pressure on the handle and reaches the boil quickly. Although compact, it occupies little space and visually provides an indicator through the drawing of a small cup, handy when you have a small amount of heating. What makes its beauty is also a disadvantage because the walls of the glass kettle are very hot when running and tartar quickly tarnishes even using spring water, it is necessary to regularly operate with water containing alcohol vinegar to it regains its radiance, at least every two or three days in case of repeated use, and it quickly becomes binding</v>
      </c>
    </row>
    <row r="2893">
      <c r="A2893" s="1">
        <v>4.0</v>
      </c>
      <c r="B2893" s="1" t="s">
        <v>2869</v>
      </c>
      <c r="C2893" t="str">
        <f>IFERROR(__xludf.DUMMYFUNCTION("GOOGLETRANSLATE(B2893, ""fr"", ""en"")"),"pretty fun gadget but practical side. the measures in pluysieur standards help")</f>
        <v>pretty fun gadget but practical side. the measures in pluysieur standards help</v>
      </c>
    </row>
    <row r="2894">
      <c r="A2894" s="1">
        <v>5.0</v>
      </c>
      <c r="B2894" s="1" t="s">
        <v>2870</v>
      </c>
      <c r="C2894" t="str">
        <f>IFERROR(__xludf.DUMMYFUNCTION("GOOGLETRANSLATE(B2894, ""fr"", ""en"")"),"I was looking headset wireless headset to listen to music while mowing my lawn. I found it with this headset that in addition to having been delivered in 24 hours, not having paid dearly, the sound is really really good. I can almost hear over the noise o"&amp;"f the mower and the chore of mowing the lawn and now a rock while ... I recommend this helmet")</f>
        <v>I was looking headset wireless headset to listen to music while mowing my lawn. I found it with this headset that in addition to having been delivered in 24 hours, not having paid dearly, the sound is really really good. I can almost hear over the noise of the mower and the chore of mowing the lawn and now a rock while ... I recommend this helmet</v>
      </c>
    </row>
    <row r="2895">
      <c r="A2895" s="1">
        <v>5.0</v>
      </c>
      <c r="B2895" s="1" t="s">
        <v>2871</v>
      </c>
      <c r="C2895" t="str">
        <f>IFERROR(__xludf.DUMMYFUNCTION("GOOGLETRANSLATE(B2895, ""fr"", ""en"")"),"Perfect size, filled with the goals when buying")</f>
        <v>Perfect size, filled with the goals when buying</v>
      </c>
    </row>
    <row r="2896">
      <c r="A2896" s="1">
        <v>5.0</v>
      </c>
      <c r="B2896" s="1" t="s">
        <v>2872</v>
      </c>
      <c r="C2896" t="str">
        <f>IFERROR(__xludf.DUMMYFUNCTION("GOOGLETRANSLATE(B2896, ""fr"", ""en"")"),"Gift A perfect birth place of all births lists! This kit is perfect for a good start with her new baby. It contains bottles (2 small and 2 large), a cleaning brush and a pacifier for newborn. These bottles are a little different from what I used, the valv"&amp;"e anti-colic is actually a stem that goes almost to the bottom of the bottle. In addition the rod is responsive to the heat ... if the milk is too hot the rod indicates. It's a little more useful. The teats are well adapted to breastfed babies but will su"&amp;"it any newborn. A great kit!")</f>
        <v>Gift A perfect birth place of all births lists! This kit is perfect for a good start with her new baby. It contains bottles (2 small and 2 large), a cleaning brush and a pacifier for newborn. These bottles are a little different from what I used, the valve anti-colic is actually a stem that goes almost to the bottom of the bottle. In addition the rod is responsive to the heat ... if the milk is too hot the rod indicates. It's a little more useful. The teats are well adapted to breastfed babies but will suit any newborn. A great kit!</v>
      </c>
    </row>
    <row r="2897">
      <c r="A2897" s="1">
        <v>5.0</v>
      </c>
      <c r="B2897" s="1" t="s">
        <v>2873</v>
      </c>
      <c r="C2897" t="str">
        <f>IFERROR(__xludf.DUMMYFUNCTION("GOOGLETRANSLATE(B2897, ""fr"", ""en"")"),"Very good! I play 42 normally and I had to take size 40 this model. Real shoes!")</f>
        <v>Very good! I play 42 normally and I had to take size 40 this model. Real shoes!</v>
      </c>
    </row>
    <row r="2898">
      <c r="A2898" s="1">
        <v>5.0</v>
      </c>
      <c r="B2898" s="1" t="s">
        <v>2874</v>
      </c>
      <c r="C2898" t="str">
        <f>IFERROR(__xludf.DUMMYFUNCTION("GOOGLETRANSLATE(B2898, ""fr"", ""en"")"),"This watch is very useful practical and pretty For my work, when I go by boat, to swim")</f>
        <v>This watch is very useful practical and pretty For my work, when I go by boat, to swim</v>
      </c>
    </row>
    <row r="2899">
      <c r="A2899" s="1">
        <v>5.0</v>
      </c>
      <c r="B2899" s="1" t="s">
        <v>2875</v>
      </c>
      <c r="C2899" t="str">
        <f>IFERROR(__xludf.DUMMYFUNCTION("GOOGLETRANSLATE(B2899, ""fr"", ""en"")"),"Perfect for novices looking for quality! I was looking for a good quality helmet without ruining myself, just to listen to music (what a joy to read files in FLAC by the way), the sound is incredibly pure, especially for that price .. .")</f>
        <v>Perfect for novices looking for quality! I was looking for a good quality helmet without ruining myself, just to listen to music (what a joy to read files in FLAC by the way), the sound is incredibly pure, especially for that price .. .</v>
      </c>
    </row>
    <row r="2900">
      <c r="A2900" s="1">
        <v>5.0</v>
      </c>
      <c r="B2900" s="1" t="s">
        <v>2876</v>
      </c>
      <c r="C2900" t="str">
        <f>IFERROR(__xludf.DUMMYFUNCTION("GOOGLETRANSLATE(B2900, ""fr"", ""en"")"),"wonder what a bargain for lower back pain, neck, shoulders even surrounded thigh against cramps, well distributed and adjustable heat")</f>
        <v>wonder what a bargain for lower back pain, neck, shoulders even surrounded thigh against cramps, well distributed and adjustable heat</v>
      </c>
    </row>
    <row r="2901">
      <c r="A2901" s="1">
        <v>5.0</v>
      </c>
      <c r="B2901" s="1" t="s">
        <v>2877</v>
      </c>
      <c r="C2901" t="str">
        <f>IFERROR(__xludf.DUMMYFUNCTION("GOOGLETRANSLATE(B2901, ""fr"", ""en"")"),"Excellent value product arrived with a carrying case. Very beautiful and comfortable to wear, size 0.5 provide more on my side. At the top for the city and the indoor sport, however will not hold the shock by running or hiking.")</f>
        <v>Excellent value product arrived with a carrying case. Very beautiful and comfortable to wear, size 0.5 provide more on my side. At the top for the city and the indoor sport, however will not hold the shock by running or hiking.</v>
      </c>
    </row>
    <row r="2902">
      <c r="A2902" s="1">
        <v>5.0</v>
      </c>
      <c r="B2902" s="1" t="s">
        <v>2878</v>
      </c>
      <c r="C2902" t="str">
        <f>IFERROR(__xludf.DUMMYFUNCTION("GOOGLETRANSLATE(B2902, ""fr"", ""en"")"),"very good product support throat I recommend thank you")</f>
        <v>very good product support throat I recommend thank you</v>
      </c>
    </row>
    <row r="2903">
      <c r="A2903" s="1">
        <v>5.0</v>
      </c>
      <c r="B2903" s="1" t="s">
        <v>2879</v>
      </c>
      <c r="C2903" t="str">
        <f>IFERROR(__xludf.DUMMYFUNCTION("GOOGLETRANSLATE(B2903, ""fr"", ""en"")"),"shows perfect and inexpensive It has it all: waterproof, 10 years of independence, a precision worthy of a Swiss watch, 5 alarms and 5 time zones, a close look at the sports Seiko 1000, a solid metal bracelet, good readability of the screen, a very good l"&amp;"ight. The only flaw: the date is difficult to read.")</f>
        <v>shows perfect and inexpensive It has it all: waterproof, 10 years of independence, a precision worthy of a Swiss watch, 5 alarms and 5 time zones, a close look at the sports Seiko 1000, a solid metal bracelet, good readability of the screen, a very good light. The only flaw: the date is difficult to read.</v>
      </c>
    </row>
    <row r="2904">
      <c r="A2904" s="1">
        <v>5.0</v>
      </c>
      <c r="B2904" s="1" t="s">
        <v>2880</v>
      </c>
      <c r="C2904" t="str">
        <f>IFERROR(__xludf.DUMMYFUNCTION("GOOGLETRANSLATE(B2904, ""fr"", ""en"")"),"Delighted with my purchase in town or at work (inside) originality / single forbid it. Light and comfortable to wear")</f>
        <v>Delighted with my purchase in town or at work (inside) originality / single forbid it. Light and comfortable to wear</v>
      </c>
    </row>
    <row r="2905">
      <c r="A2905" s="1">
        <v>5.0</v>
      </c>
      <c r="B2905" s="1" t="s">
        <v>2881</v>
      </c>
      <c r="C2905" t="str">
        <f>IFERROR(__xludf.DUMMYFUNCTION("GOOGLETRANSLATE(B2905, ""fr"", ""en"")"),"smooth and color Alarm Perfect for hard of hearing in the morning! Light and pleasant; read the instructions for various settings")</f>
        <v>smooth and color Alarm Perfect for hard of hearing in the morning! Light and pleasant; read the instructions for various settings</v>
      </c>
    </row>
    <row r="2906">
      <c r="A2906" s="1">
        <v>5.0</v>
      </c>
      <c r="B2906" s="1" t="s">
        <v>2882</v>
      </c>
      <c r="C2906" t="str">
        <f>IFERROR(__xludf.DUMMYFUNCTION("GOOGLETRANSLATE(B2906, ""fr"", ""en"")"),"toilet paper I recommend customers to buy me was I each order his remains long very good brand very soft not very expensive especially you are quiet")</f>
        <v>toilet paper I recommend customers to buy me was I each order his remains long very good brand very soft not very expensive especially you are quiet</v>
      </c>
    </row>
    <row r="2907">
      <c r="A2907" s="1">
        <v>5.0</v>
      </c>
      <c r="B2907" s="1" t="s">
        <v>2883</v>
      </c>
      <c r="C2907" t="str">
        <f>IFERROR(__xludf.DUMMYFUNCTION("GOOGLETRANSLATE(B2907, ""fr"", ""en"")"),"Result up to my expectations used on two pairs (of the Hudson brand, I paid around 100 euros) I have two years without ever having dealt with before. The result is clear, I am satisfied with the product. The instructions are simple and written on the prod"&amp;"uct. I personally used an old cotton T-shirt for the application, which works very well. I recommend !")</f>
        <v>Result up to my expectations used on two pairs (of the Hudson brand, I paid around 100 euros) I have two years without ever having dealt with before. The result is clear, I am satisfied with the product. The instructions are simple and written on the product. I personally used an old cotton T-shirt for the application, which works very well. I recommend !</v>
      </c>
    </row>
    <row r="2908">
      <c r="A2908" s="1">
        <v>5.0</v>
      </c>
      <c r="B2908" s="1" t="s">
        <v>2884</v>
      </c>
      <c r="C2908" t="str">
        <f>IFERROR(__xludf.DUMMYFUNCTION("GOOGLETRANSLATE(B2908, ""fr"", ""en"")"),"Perfectly perfect solid Socks, perfect for my safety shoes")</f>
        <v>Perfectly perfect solid Socks, perfect for my safety shoes</v>
      </c>
    </row>
    <row r="2909">
      <c r="A2909" s="1">
        <v>5.0</v>
      </c>
      <c r="B2909" s="1" t="s">
        <v>2885</v>
      </c>
      <c r="C2909" t="str">
        <f>IFERROR(__xludf.DUMMYFUNCTION("GOOGLETRANSLATE(B2909, ""fr"", ""en"")"),"These boots are made for walking Delivered on time, these boots fit their description, excellent workmanship. Soon arrived, soon roadways and comfort awaits you. As for their life? We'll see later...")</f>
        <v>These boots are made for walking Delivered on time, these boots fit their description, excellent workmanship. Soon arrived, soon roadways and comfort awaits you. As for their life? We'll see later...</v>
      </c>
    </row>
    <row r="2910">
      <c r="A2910" s="1">
        <v>2.0</v>
      </c>
      <c r="B2910" s="1" t="s">
        <v>2886</v>
      </c>
      <c r="C2910" t="str">
        <f>IFERROR(__xludf.DUMMYFUNCTION("GOOGLETRANSLATE(B2910, ""fr"", ""en"")"),"pallet incomplete hello it is the second time I order this product, and in both cases im missing two color pencil")</f>
        <v>pallet incomplete hello it is the second time I order this product, and in both cases im missing two color pencil</v>
      </c>
    </row>
    <row r="2911">
      <c r="A2911" s="1">
        <v>1.0</v>
      </c>
      <c r="B2911" s="1" t="s">
        <v>2887</v>
      </c>
      <c r="C2911" t="str">
        <f>IFERROR(__xludf.DUMMYFUNCTION("GOOGLETRANSLATE(B2911, ""fr"", ""en"")"),"Really too small Disappointed by the size that's too small by standards. Viewpoint quality, the fabric looks very fine.")</f>
        <v>Really too small Disappointed by the size that's too small by standards. Viewpoint quality, the fabric looks very fine.</v>
      </c>
    </row>
    <row r="2912">
      <c r="A2912" s="1">
        <v>3.0</v>
      </c>
      <c r="B2912" s="1" t="s">
        <v>2888</v>
      </c>
      <c r="C2912" t="str">
        <f>IFERROR(__xludf.DUMMYFUNCTION("GOOGLETRANSLATE(B2912, ""fr"", ""en"")"),"Original but not in line I bought two pairs of Timberland on amazon to size 7.4 / 41 EU (Brown and Black). The first suits me perfectly. The second pair this one (black) hugs me too much to the right foot. In addition, the boots make a lot of noise when I"&amp;" walk with. Otherwise the delivery is fast enough in 3 workdays. the product quality. I'm just disappointed that I am manufacturing fouled.")</f>
        <v>Original but not in line I bought two pairs of Timberland on amazon to size 7.4 / 41 EU (Brown and Black). The first suits me perfectly. The second pair this one (black) hugs me too much to the right foot. In addition, the boots make a lot of noise when I walk with. Otherwise the delivery is fast enough in 3 workdays. the product quality. I'm just disappointed that I am manufacturing fouled.</v>
      </c>
    </row>
    <row r="2913">
      <c r="A2913" s="1">
        <v>3.0</v>
      </c>
      <c r="B2913" s="1" t="s">
        <v>2889</v>
      </c>
      <c r="C2913" t="str">
        <f>IFERROR(__xludf.DUMMYFUNCTION("GOOGLETRANSLATE(B2913, ""fr"", ""en"")"),"Double Ring phalanx however Jolie ring relative to the picture I was expecting better but this is a nice jewelry to wear.")</f>
        <v>Double Ring phalanx however Jolie ring relative to the picture I was expecting better but this is a nice jewelry to wear.</v>
      </c>
    </row>
    <row r="2914">
      <c r="A2914" s="1">
        <v>4.0</v>
      </c>
      <c r="B2914" s="1" t="s">
        <v>2890</v>
      </c>
      <c r="C2914" t="str">
        <f>IFERROR(__xludf.DUMMYFUNCTION("GOOGLETRANSLATE(B2914, ""fr"", ""en"")"),"super comfortable but for that, I have sent the pair I had ordered 39.5 (half size larger than my usual size in Clarks) and I have taken in 39.5 41. I ' took me a long time to put one and more to remove. Now with the new size, I like slippers")</f>
        <v>super comfortable but for that, I have sent the pair I had ordered 39.5 (half size larger than my usual size in Clarks) and I have taken in 39.5 41. I ' took me a long time to put one and more to remove. Now with the new size, I like slippers</v>
      </c>
    </row>
    <row r="2915">
      <c r="A2915" s="1">
        <v>4.0</v>
      </c>
      <c r="B2915" s="1" t="s">
        <v>2891</v>
      </c>
      <c r="C2915" t="str">
        <f>IFERROR(__xludf.DUMMYFUNCTION("GOOGLETRANSLATE(B2915, ""fr"", ""en"")"),"Nice I expected a slightly smaller one lamp, I misread the description. Light donx can move without problem everywhere. Do not heat and light is really powerful. I have not long enough to talk about efficiency in the long term. But it helps me to motivate"&amp;" me in the morning")</f>
        <v>Nice I expected a slightly smaller one lamp, I misread the description. Light donx can move without problem everywhere. Do not heat and light is really powerful. I have not long enough to talk about efficiency in the long term. But it helps me to motivate me in the morning</v>
      </c>
    </row>
    <row r="2916">
      <c r="A2916" s="1">
        <v>4.0</v>
      </c>
      <c r="B2916" s="1" t="s">
        <v>2892</v>
      </c>
      <c r="C2916" t="str">
        <f>IFERROR(__xludf.DUMMYFUNCTION("GOOGLETRANSLATE(B2916, ""fr"", ""en"")"),"Very good choice Complies control very good quality out put some files that exceed but nothing significant and comes with two weeks ahead I recommend 👍")</f>
        <v>Very good choice Complies control very good quality out put some files that exceed but nothing significant and comes with two weeks ahead I recommend 👍</v>
      </c>
    </row>
    <row r="2917">
      <c r="A2917" s="1">
        <v>4.0</v>
      </c>
      <c r="B2917" s="1" t="s">
        <v>2893</v>
      </c>
      <c r="C2917" t="str">
        <f>IFERROR(__xludf.DUMMYFUNCTION("GOOGLETRANSLATE(B2917, ""fr"", ""en"")"),"Good product quality, a little strong in low Used for 3 weeks, a good value for money. Good audio quality, too low for my taste. It is corrected well with an equalizer. Good performance and comfort ears. Bluetooth reception unsurprisingly, at least 10m. I"&amp;" work in openspace and noise reduction headphones on off very good (passive) very correct charge Case.")</f>
        <v>Good product quality, a little strong in low Used for 3 weeks, a good value for money. Good audio quality, too low for my taste. It is corrected well with an equalizer. Good performance and comfort ears. Bluetooth reception unsurprisingly, at least 10m. I work in openspace and noise reduction headphones on off very good (passive) very correct charge Case.</v>
      </c>
    </row>
    <row r="2918">
      <c r="A2918" s="1">
        <v>5.0</v>
      </c>
      <c r="B2918" s="1" t="s">
        <v>2894</v>
      </c>
      <c r="C2918" t="str">
        <f>IFERROR(__xludf.DUMMYFUNCTION("GOOGLETRANSLATE(B2918, ""fr"", ""en"")"),"good product complies item and good quality. perfectly fulfilled its mission, good resistance to pages")</f>
        <v>good product complies item and good quality. perfectly fulfilled its mission, good resistance to pages</v>
      </c>
    </row>
    <row r="2919">
      <c r="A2919" s="1">
        <v>5.0</v>
      </c>
      <c r="B2919" s="1" t="s">
        <v>2895</v>
      </c>
      <c r="C2919" t="str">
        <f>IFERROR(__xludf.DUMMYFUNCTION("GOOGLETRANSLATE(B2919, ""fr"", ""en"")"),"Quality impeccable cheap After 5 days of use headphones work perfectly. The sound quality is excellent and the camera offers good battery life in addition to the rechargeable unit that can load twice the listener A button on each earphone is used to chang"&amp;"e the music or pause I recommend")</f>
        <v>Quality impeccable cheap After 5 days of use headphones work perfectly. The sound quality is excellent and the camera offers good battery life in addition to the rechargeable unit that can load twice the listener A button on each earphone is used to change the music or pause I recommend</v>
      </c>
    </row>
    <row r="2920">
      <c r="A2920" s="1">
        <v>5.0</v>
      </c>
      <c r="B2920" s="1" t="s">
        <v>2896</v>
      </c>
      <c r="C2920" t="str">
        <f>IFERROR(__xludf.DUMMYFUNCTION("GOOGLETRANSLATE(B2920, ""fr"", ""en"")"),"Pullover Hoody Viper perfect size (I'm 1m85 for 75kg around and I took a size L), very good cut. I am very satisfied with this purchase. No test outside but it seems to be quite warm. Only small downside, the hood is a little tight when you put it (too """&amp;"stuck"" on the head).")</f>
        <v>Pullover Hoody Viper perfect size (I'm 1m85 for 75kg around and I took a size L), very good cut. I am very satisfied with this purchase. No test outside but it seems to be quite warm. Only small downside, the hood is a little tight when you put it (too "stuck" on the head).</v>
      </c>
    </row>
    <row r="2921">
      <c r="A2921" s="1">
        <v>5.0</v>
      </c>
      <c r="B2921" s="1" t="s">
        <v>2897</v>
      </c>
      <c r="C2921" t="str">
        <f>IFERROR(__xludf.DUMMYFUNCTION("GOOGLETRANSLATE(B2921, ""fr"", ""en"")"),"JADORE Product in accordance with the photo, fine quality, good size. I recommend !")</f>
        <v>JADORE Product in accordance with the photo, fine quality, good size. I recommend !</v>
      </c>
    </row>
    <row r="2922">
      <c r="A2922" s="1">
        <v>5.0</v>
      </c>
      <c r="B2922" s="1" t="s">
        <v>2898</v>
      </c>
      <c r="C2922" t="str">
        <f>IFERROR(__xludf.DUMMYFUNCTION("GOOGLETRANSLATE(B2922, ""fr"", ""en"")"),"Nikel for a fan of Converse as I was hesitant to order it without trying my surprise when I received the pair, as soon received immediately tried it suits me perfect size perfectly sized 40 I advise and for the price we did not hesitate a single second")</f>
        <v>Nikel for a fan of Converse as I was hesitant to order it without trying my surprise when I received the pair, as soon received immediately tried it suits me perfect size perfectly sized 40 I advise and for the price we did not hesitate a single second</v>
      </c>
    </row>
    <row r="2923">
      <c r="A2923" s="1">
        <v>5.0</v>
      </c>
      <c r="B2923" s="1" t="s">
        <v>2899</v>
      </c>
      <c r="C2923" t="str">
        <f>IFERROR(__xludf.DUMMYFUNCTION("GOOGLETRANSLATE(B2923, ""fr"", ""en"")"),"Super very good very solid model and yours well the foot. I take the same eyes closed")</f>
        <v>Super very good very solid model and yours well the foot. I take the same eyes closed</v>
      </c>
    </row>
    <row r="2924">
      <c r="A2924" s="1">
        <v>5.0</v>
      </c>
      <c r="B2924" s="1" t="s">
        <v>2900</v>
      </c>
      <c r="C2924" t="str">
        <f>IFERROR(__xludf.DUMMYFUNCTION("GOOGLETRANSLATE(B2924, ""fr"", ""en"")"),"huge roll is huge and does not fit in my machine ... BUT the plastic film is very much higher than the brands found in supermarkets. And it more than compensates.")</f>
        <v>huge roll is huge and does not fit in my machine ... BUT the plastic film is very much higher than the brands found in supermarkets. And it more than compensates.</v>
      </c>
    </row>
    <row r="2925">
      <c r="A2925" s="1">
        <v>5.0</v>
      </c>
      <c r="B2925" s="1" t="s">
        <v>2901</v>
      </c>
      <c r="C2925" t="str">
        <f>IFERROR(__xludf.DUMMYFUNCTION("GOOGLETRANSLATE(B2925, ""fr"", ""en"")"),"super comfortable in it frankly that's exactly what I wanted, I had already ordered last year and I feel super comfortable in it, I highly recommend this product.")</f>
        <v>super comfortable in it frankly that's exactly what I wanted, I had already ordered last year and I feel super comfortable in it, I highly recommend this product.</v>
      </c>
    </row>
    <row r="2926">
      <c r="A2926" s="1">
        <v>5.0</v>
      </c>
      <c r="B2926" s="1" t="s">
        <v>2902</v>
      </c>
      <c r="C2926" t="str">
        <f>IFERROR(__xludf.DUMMYFUNCTION("GOOGLETRANSLATE(B2926, ""fr"", ""en"")"),"One of the finest books on Christmas ... Excerpt from the Facebook page of my Favorite Books Children The end of the year approaches. The trees dream of dress they will wear on Christmas Eve. In the shade of large trees, there is a small tree that listens"&amp;". Will he also his dream come true? Features: - Beautiful Christmas story! ! Dream, poetry, imagination ... - Christmas Addresses an original way, from the perspective of firs without Santa Claus or gifts. - Watch that reality can sometimes be even more b"&amp;"eautiful than the most beautiful of our dreams! ! - Addresses with delicacy and poetry the themes of difference and personal tastes.")</f>
        <v>One of the finest books on Christmas ... Excerpt from the Facebook page of my Favorite Books Children The end of the year approaches. The trees dream of dress they will wear on Christmas Eve. In the shade of large trees, there is a small tree that listens. Will he also his dream come true? Features: - Beautiful Christmas story! ! Dream, poetry, imagination ... - Christmas Addresses an original way, from the perspective of firs without Santa Claus or gifts. - Watch that reality can sometimes be even more beautiful than the most beautiful of our dreams! ! - Addresses with delicacy and poetry the themes of difference and personal tastes.</v>
      </c>
    </row>
    <row r="2927">
      <c r="A2927" s="1">
        <v>5.0</v>
      </c>
      <c r="B2927" s="1" t="s">
        <v>2903</v>
      </c>
      <c r="C2927" t="str">
        <f>IFERROR(__xludf.DUMMYFUNCTION("GOOGLETRANSLATE(B2927, ""fr"", ""en"")"),"The good quality white band is a little smaller than the black, and they have perfectly good size for us (we wrists rather purposes ..). The stones are beautiful and look good, though the crown has lost some color to the party against the skin (two hot da"&amp;"ys). There are two elastic son which reassures about the life of the bracelets. In short, a very good buy for my part, but beware if you have a large wrist.")</f>
        <v>The good quality white band is a little smaller than the black, and they have perfectly good size for us (we wrists rather purposes ..). The stones are beautiful and look good, though the crown has lost some color to the party against the skin (two hot days). There are two elastic son which reassures about the life of the bracelets. In short, a very good buy for my part, but beware if you have a large wrist.</v>
      </c>
    </row>
    <row r="2928">
      <c r="A2928" s="1">
        <v>5.0</v>
      </c>
      <c r="B2928" s="1" t="s">
        <v>2904</v>
      </c>
      <c r="C2928" t="str">
        <f>IFERROR(__xludf.DUMMYFUNCTION("GOOGLETRANSLATE(B2928, ""fr"", ""en"")"),"Very good price / quality vintage design Coffee Made some noise, fast, coffee keeping warm 40 minutes Large capacity. Very good value for money")</f>
        <v>Very good price / quality vintage design Coffee Made some noise, fast, coffee keeping warm 40 minutes Large capacity. Very good value for money</v>
      </c>
    </row>
    <row r="2929">
      <c r="A2929" s="1">
        <v>5.0</v>
      </c>
      <c r="B2929" s="1" t="s">
        <v>2905</v>
      </c>
      <c r="C2929" t="str">
        <f>IFERROR(__xludf.DUMMYFUNCTION("GOOGLETRANSLATE(B2929, ""fr"", ""en"")"),"GOOD SURPRISE ! For the price, it is expected to have a gadget ... But once received and tested, a nice surprise. Silent, easy to use (simple, it's impossible), 2 buttons, one to adjust the light of their choice in all colors of the rainbow. The other but"&amp;"ton to deliver one or more hours. Stops automatically when there is no water or when the timing is finished. A nice design, which despite the plastic material, is a beautiful wood effect. As soon as it launches, it broadcasts immediately (1 second). Anoth"&amp;"er significant detail, long power cable! In short, absolutely nothing to say. Everything is there, quality, price, efficiency and design.")</f>
        <v>GOOD SURPRISE ! For the price, it is expected to have a gadget ... But once received and tested, a nice surprise. Silent, easy to use (simple, it's impossible), 2 buttons, one to adjust the light of their choice in all colors of the rainbow. The other button to deliver one or more hours. Stops automatically when there is no water or when the timing is finished. A nice design, which despite the plastic material, is a beautiful wood effect. As soon as it launches, it broadcasts immediately (1 second). Another significant detail, long power cable! In short, absolutely nothing to say. Everything is there, quality, price, efficiency and design.</v>
      </c>
    </row>
    <row r="2930">
      <c r="A2930" s="1">
        <v>5.0</v>
      </c>
      <c r="B2930" s="1" t="s">
        <v>2906</v>
      </c>
      <c r="C2930" t="str">
        <f>IFERROR(__xludf.DUMMYFUNCTION("GOOGLETRANSLATE(B2930, ""fr"", ""en"")"),"Perfect Perfect, just 41 comfortable and woman. I recommend.")</f>
        <v>Perfect Perfect, just 41 comfortable and woman. I recommend.</v>
      </c>
    </row>
    <row r="2931">
      <c r="A2931" s="1">
        <v>5.0</v>
      </c>
      <c r="B2931" s="1" t="s">
        <v>2907</v>
      </c>
      <c r="C2931" t="str">
        <f>IFERROR(__xludf.DUMMYFUNCTION("GOOGLETRANSLATE(B2931, ""fr"", ""en"")"),"Very useful ! An excellent bottle warmer but not that all modes including defrost system works extremely well. the possibility of two bottles We appreciate simultaneously the buttons respond very well")</f>
        <v>Very useful ! An excellent bottle warmer but not that all modes including defrost system works extremely well. the possibility of two bottles We appreciate simultaneously the buttons respond very well</v>
      </c>
    </row>
    <row r="2932">
      <c r="A2932" s="1">
        <v>5.0</v>
      </c>
      <c r="B2932" s="1" t="s">
        <v>2908</v>
      </c>
      <c r="C2932" t="str">
        <f>IFERROR(__xludf.DUMMYFUNCTION("GOOGLETRANSLATE(B2932, ""fr"", ""en"")"),"very well Satisfied with this purchase for my daughter. The size, color, and price no complaints. Perfect for a teenager!")</f>
        <v>very well Satisfied with this purchase for my daughter. The size, color, and price no complaints. Perfect for a teenager!</v>
      </c>
    </row>
    <row r="2933">
      <c r="A2933" s="1">
        <v>2.0</v>
      </c>
      <c r="B2933" s="1" t="s">
        <v>2909</v>
      </c>
      <c r="C2933" t="str">
        <f>IFERROR(__xludf.DUMMYFUNCTION("GOOGLETRANSLATE(B2933, ""fr"", ""en"")"),"Déteins on the skin The metal alloy déteins on the skin of my wife who left him a blue mark around the neck from the chain and back of the jewel become rosy. Too bad because the jewelry itself is beautiful but its core should not be taken to 100E for the "&amp;"quality it deserves its 30th")</f>
        <v>Déteins on the skin The metal alloy déteins on the skin of my wife who left him a blue mark around the neck from the chain and back of the jewel become rosy. Too bad because the jewelry itself is beautiful but its core should not be taken to 100E for the quality it deserves its 30th</v>
      </c>
    </row>
    <row r="2934">
      <c r="A2934" s="1">
        <v>1.0</v>
      </c>
      <c r="B2934" s="1" t="s">
        <v>2910</v>
      </c>
      <c r="C2934" t="str">
        <f>IFERROR(__xludf.DUMMYFUNCTION("GOOGLETRANSLATE(B2934, ""fr"", ""en"")"),"Very disappointed The outside is good for the soles against themselves apart in a very short time. I had to buy a sole and a gel cushion to replace all")</f>
        <v>Very disappointed The outside is good for the soles against themselves apart in a very short time. I had to buy a sole and a gel cushion to replace all</v>
      </c>
    </row>
    <row r="2935">
      <c r="A2935" s="1">
        <v>1.0</v>
      </c>
      <c r="B2935" s="1" t="s">
        <v>2911</v>
      </c>
      <c r="C2935" t="str">
        <f>IFERROR(__xludf.DUMMYFUNCTION("GOOGLETRANSLATE(B2935, ""fr"", ""en"")"),"Cloth very poor description refers to a blend of cotton, in fact it is synthetic with an almost touched plastic that is very rude and not nice at all. I sent a return request but the seller seems unwilling. I wait to see how it will evolve. I am disappoin"&amp;"ted that Amazon accepts sellers who do not play the game and who allow false descriptions.")</f>
        <v>Cloth very poor description refers to a blend of cotton, in fact it is synthetic with an almost touched plastic that is very rude and not nice at all. I sent a return request but the seller seems unwilling. I wait to see how it will evolve. I am disappointed that Amazon accepts sellers who do not play the game and who allow false descriptions.</v>
      </c>
    </row>
    <row r="2936">
      <c r="A2936" s="1">
        <v>3.0</v>
      </c>
      <c r="B2936" s="1" t="s">
        <v>2912</v>
      </c>
      <c r="C2936" t="str">
        <f>IFERROR(__xludf.DUMMYFUNCTION("GOOGLETRANSLATE(B2936, ""fr"", ""en"")"),"ibizacart cell Sound is average and personally I have mono sound can be another failure (be it you adjust the position of the cell)")</f>
        <v>ibizacart cell Sound is average and personally I have mono sound can be another failure (be it you adjust the position of the cell)</v>
      </c>
    </row>
    <row r="2937">
      <c r="A2937" s="1">
        <v>3.0</v>
      </c>
      <c r="B2937" s="1" t="s">
        <v>2913</v>
      </c>
      <c r="C2937" t="str">
        <f>IFERROR(__xludf.DUMMYFUNCTION("GOOGLETRANSLATE(B2937, ""fr"", ""en"")"),"Nice but will not serve .... :-( Accustomed Mam bottles, very disappointed with my purchase. I used to date the bottles with anti colic system. With this model, my daughter has a hard drinking because the nipple flattens despite the small slot on the basi"&amp;"s of it for passing air. So it is choking all the time. It remains for me to buy on anti colic model 320 ml and let this one closet to the bottom :-(")</f>
        <v>Nice but will not serve .... :-( Accustomed Mam bottles, very disappointed with my purchase. I used to date the bottles with anti colic system. With this model, my daughter has a hard drinking because the nipple flattens despite the small slot on the basis of it for passing air. So it is choking all the time. It remains for me to buy on anti colic model 320 ml and let this one closet to the bottom :-(</v>
      </c>
    </row>
    <row r="2938">
      <c r="A2938" s="1">
        <v>4.0</v>
      </c>
      <c r="B2938" s="1" t="s">
        <v>2914</v>
      </c>
      <c r="C2938" t="str">
        <f>IFERROR(__xludf.DUMMYFUNCTION("GOOGLETRANSLATE(B2938, ""fr"", ""en"")"),"Solac complete device masseur, very efficient !! Lighter legs but it must be done at least 10 minutes per jour.A recommend 100%.")</f>
        <v>Solac complete device masseur, very efficient !! Lighter legs but it must be done at least 10 minutes per jour.A recommend 100%.</v>
      </c>
    </row>
    <row r="2939">
      <c r="A2939" s="1">
        <v>4.0</v>
      </c>
      <c r="B2939" s="1" t="s">
        <v>2915</v>
      </c>
      <c r="C2939" t="str">
        <f>IFERROR(__xludf.DUMMYFUNCTION("GOOGLETRANSLATE(B2939, ""fr"", ""en"")"),"Aicok Kettle 2200W cute kettle and friendly good value")</f>
        <v>Aicok Kettle 2200W cute kettle and friendly good value</v>
      </c>
    </row>
    <row r="2940">
      <c r="A2940" s="1">
        <v>4.0</v>
      </c>
      <c r="B2940" s="1" t="s">
        <v>2916</v>
      </c>
      <c r="C2940" t="str">
        <f>IFERROR(__xludf.DUMMYFUNCTION("GOOGLETRANSLATE(B2940, ""fr"", ""en"")"),"Convenient and easy to use Super easy to fill small gourds and so convenient to take everywhere! Frankly I'm a fan. I had taken the gourds pack but I will recommend! Baby love and frankly what saves space !!! Tip: You have to buy the brush as this will fa"&amp;"cilitate the cleaning gourds (Fill n Squeeze Pouch Reusable Cleaning Brush)")</f>
        <v>Convenient and easy to use Super easy to fill small gourds and so convenient to take everywhere! Frankly I'm a fan. I had taken the gourds pack but I will recommend! Baby love and frankly what saves space !!! Tip: You have to buy the brush as this will facilitate the cleaning gourds (Fill n Squeeze Pouch Reusable Cleaning Brush)</v>
      </c>
    </row>
    <row r="2941">
      <c r="A2941" s="1">
        <v>4.0</v>
      </c>
      <c r="B2941" s="1" t="s">
        <v>2917</v>
      </c>
      <c r="C2941" t="str">
        <f>IFERROR(__xludf.DUMMYFUNCTION("GOOGLETRANSLATE(B2941, ""fr"", ""en"")"),"It works, but ... I ordered this particular product because I had seen that there was more flat adjusters, which corresponded me aesthetically, yet I saw that it was not working well. .. So I wanted to have both. Finding: I wanted to use the adjusters tha"&amp;"t roll, but as my signet ring is flat and not round, it works not crazy ... The dishes adjusters come in multiple sizes, and DOUBLE (it is important), and 1: Aesthetically it's very discreet 2: it works exactly as I had hoped: very good 3: Certainly it fa"&amp;"lls sometimes, but I did not want to put the tights supplied with because it doubled the size given in addition by the adjuster. After that I do not mind giving it to every time, so it's like you feel it. By cons, if you drop it, good luck ... Transparent"&amp;" as it is, I've already lost one (after a week of use), so like what, the fact that it doubles Up! If you want it to hold, I would advise to put a glue point, but then good luck to remove it ... So the best thing is to pay attention To summarize: I do not"&amp;" comment on round, it just do not suit me. The dishes are very discreet and work well, but beware of sticky which is very thick. But without that, it will often fall. But I still recommend the product has done its office.")</f>
        <v>It works, but ... I ordered this particular product because I had seen that there was more flat adjusters, which corresponded me aesthetically, yet I saw that it was not working well. .. So I wanted to have both. Finding: I wanted to use the adjusters that roll, but as my signet ring is flat and not round, it works not crazy ... The dishes adjusters come in multiple sizes, and DOUBLE (it is important), and 1: Aesthetically it's very discreet 2: it works exactly as I had hoped: very good 3: Certainly it falls sometimes, but I did not want to put the tights supplied with because it doubled the size given in addition by the adjuster. After that I do not mind giving it to every time, so it's like you feel it. By cons, if you drop it, good luck ... Transparent as it is, I've already lost one (after a week of use), so like what, the fact that it doubles Up! If you want it to hold, I would advise to put a glue point, but then good luck to remove it ... So the best thing is to pay attention To summarize: I do not comment on round, it just do not suit me. The dishes are very discreet and work well, but beware of sticky which is very thick. But without that, it will often fall. But I still recommend the product has done its office.</v>
      </c>
    </row>
    <row r="2942">
      <c r="A2942" s="1">
        <v>5.0</v>
      </c>
      <c r="B2942" s="1" t="s">
        <v>2918</v>
      </c>
      <c r="C2942" t="str">
        <f>IFERROR(__xludf.DUMMYFUNCTION("GOOGLETRANSLATE(B2942, ""fr"", ""en"")"),"Very good quality felts are new and of good quality, they all work. The assortment of colors for me, at this price it is a very interesting offer, thank you!")</f>
        <v>Very good quality felts are new and of good quality, they all work. The assortment of colors for me, at this price it is a very interesting offer, thank you!</v>
      </c>
    </row>
    <row r="2943">
      <c r="A2943" s="1">
        <v>5.0</v>
      </c>
      <c r="B2943" s="1" t="s">
        <v>2919</v>
      </c>
      <c r="C2943" t="str">
        <f>IFERROR(__xludf.DUMMYFUNCTION("GOOGLETRANSLATE(B2943, ""fr"", ""en"")"),"RENAPUR Renapur I used to clean and maintain the leather seats of my car. flawless result. Color Recapture, pleasant smell !!! Completely satisfied.")</f>
        <v>RENAPUR Renapur I used to clean and maintain the leather seats of my car. flawless result. Color Recapture, pleasant smell !!! Completely satisfied.</v>
      </c>
    </row>
    <row r="2944">
      <c r="A2944" s="1">
        <v>5.0</v>
      </c>
      <c r="B2944" s="1" t="s">
        <v>2920</v>
      </c>
      <c r="C2944" t="str">
        <f>IFERROR(__xludf.DUMMYFUNCTION("GOOGLETRANSLATE(B2944, ""fr"", ""en"")"),"Very handy aesthetically nice and very convenient. The materials seem to be of good quality.")</f>
        <v>Very handy aesthetically nice and very convenient. The materials seem to be of good quality.</v>
      </c>
    </row>
    <row r="2945">
      <c r="A2945" s="1">
        <v>5.0</v>
      </c>
      <c r="B2945" s="1" t="s">
        <v>2921</v>
      </c>
      <c r="C2945" t="str">
        <f>IFERROR(__xludf.DUMMYFUNCTION("GOOGLETRANSLATE(B2945, ""fr"", ""en"")"),"Excellent seller helmet medium Update: supplier you insite to put a comment and asks for proof voucher etc ... unz time the comment posted more news does not respond to emails ... Quality Product , adapts well to the head, excellent stereo for gamming")</f>
        <v>Excellent seller helmet medium Update: supplier you insite to put a comment and asks for proof voucher etc ... unz time the comment posted more news does not respond to emails ... Quality Product , adapts well to the head, excellent stereo for gamming</v>
      </c>
    </row>
    <row r="2946">
      <c r="A2946" s="1">
        <v>5.0</v>
      </c>
      <c r="B2946" s="1" t="s">
        <v>2922</v>
      </c>
      <c r="C2946" t="str">
        <f>IFERROR(__xludf.DUMMYFUNCTION("GOOGLETRANSLATE(B2946, ""fr"", ""en"")"),"perfect product I made the best deal on the new collection during the sales the color choices well pleased with this purchase")</f>
        <v>perfect product I made the best deal on the new collection during the sales the color choices well pleased with this purchase</v>
      </c>
    </row>
    <row r="2947">
      <c r="A2947" s="1">
        <v>5.0</v>
      </c>
      <c r="B2947" s="1" t="s">
        <v>2923</v>
      </c>
      <c r="C2947" t="str">
        <f>IFERROR(__xludf.DUMMYFUNCTION("GOOGLETRANSLATE(B2947, ""fr"", ""en"")"),"beautiful and intuitive battery a day max beautiful watch with all the features you need (sports and multimedia) j emphasizes the beauty of this watch makes it really classy, ​​I sincerely favorite by far the Galaxy Samsung -")</f>
        <v>beautiful and intuitive battery a day max beautiful watch with all the features you need (sports and multimedia) j emphasizes the beauty of this watch makes it really classy, ​​I sincerely favorite by far the Galaxy Samsung -</v>
      </c>
    </row>
    <row r="2948">
      <c r="A2948" s="1">
        <v>5.0</v>
      </c>
      <c r="B2948" s="1" t="s">
        <v>2924</v>
      </c>
      <c r="C2948" t="str">
        <f>IFERROR(__xludf.DUMMYFUNCTION("GOOGLETRANSLATE(B2948, ""fr"", ""en"")"),"At the top on top, very classy")</f>
        <v>At the top on top, very classy</v>
      </c>
    </row>
    <row r="2949">
      <c r="A2949" s="1">
        <v>5.0</v>
      </c>
      <c r="B2949" s="1" t="s">
        <v>2925</v>
      </c>
      <c r="C2949" t="str">
        <f>IFERROR(__xludf.DUMMYFUNCTION("GOOGLETRANSLATE(B2949, ""fr"", ""en"")"),"Bein Buy For my daughter it was great just consistent with the picture")</f>
        <v>Bein Buy For my daughter it was great just consistent with the picture</v>
      </c>
    </row>
    <row r="2950">
      <c r="A2950" s="1">
        <v>5.0</v>
      </c>
      <c r="B2950" s="1" t="s">
        <v>2926</v>
      </c>
      <c r="C2950" t="str">
        <f>IFERROR(__xludf.DUMMYFUNCTION("GOOGLETRANSLATE(B2950, ""fr"", ""en"")"),"Practice Okay")</f>
        <v>Practice Okay</v>
      </c>
    </row>
    <row r="2951">
      <c r="A2951" s="1">
        <v>5.0</v>
      </c>
      <c r="B2951" s="1" t="s">
        <v>2927</v>
      </c>
      <c r="C2951" t="str">
        <f>IFERROR(__xludf.DUMMYFUNCTION("GOOGLETRANSLATE(B2951, ""fr"", ""en"")"),"Ideal new kit born bottle full of baby Lot. I gave my sister she is delighted that lot. Easy to clean and use")</f>
        <v>Ideal new kit born bottle full of baby Lot. I gave my sister she is delighted that lot. Easy to clean and use</v>
      </c>
    </row>
    <row r="2952">
      <c r="A2952" s="1">
        <v>5.0</v>
      </c>
      <c r="B2952" s="1" t="s">
        <v>2928</v>
      </c>
      <c r="C2952" t="str">
        <f>IFERROR(__xludf.DUMMYFUNCTION("GOOGLETRANSLATE(B2952, ""fr"", ""en"")"),"Foot massager 5kg &lt;div id = ""video-block-R1SV7XGSVHR8X0"" class = ""a-section-spacing-small-spacing has-top video mini-block""&gt; &lt;div tabindex = ""0"" class = ""airy airy- svg vmin-unsupported airy-skin-beacon ""style ="" background-color: rgb (0, 0, 0); "&amp;"position: relative; width: 100%; height: 100%; font-size: 0px; overflow: hidden; outline: none; ""&gt; &lt;div class ="" airy-renderer container ""style ="" position: relative; height: 100%; width: 100%; ""&gt; &lt;video id ="" 103 ""preload ="" auto ""src = ""https:"&amp;"//images-eu.ssl-images-amazon.com/images/I/B1G482iDgmS.mp4"" style = ""position: absolute; left: 0px; top: 0px; overflow: hidden; height: 1px; width: 1px; ""&gt; &lt;/ video&gt; &lt;/ div&gt; &lt;div id ="" airy-slate-preload ""style ="" background-color: rgb (0, 0, 0); ba"&amp;"ckground-image: url (&amp; quot; https: / /images-eu.ssl-images-amazon.com/images/I/91OSl-QuXCS.png&amp;quot;); background-size: contain; background-position: center center; background-repeat: no-repeat; position: absolute; top: 0px; left: 0px; visibility: visibl"&amp;"e; width: 100%; height: 100% ""&gt; &lt;/ div&gt; &lt;iframe scroll Eng = ""no"" frameborder = ""0"" src = ""about: blank"" style = ""display: none;""&gt; &lt;/ iframe&gt; &lt;div tabindex = ""- 1"" class = ""airy-controls-container"" style = "" opacity: 0; visibility: hidden; "&amp;"""&gt; &lt;div tabindex ="" - 1 ""class ="" airy-screen-size-toggle airy-fullscreen ""&gt; &lt;/ div&gt; &lt;div tabindex ="" - 1 ""class ="" airy-container-bottom "" &gt; &lt;div tabindex = ""- 1"" class = ""airy-track-bar spacer-left"" style = ""width: 11px;""&gt; &lt;/ div&gt; &lt;div ta"&amp;"bindex = ""- 1"" class = ""airy-play- toggle airy-play ""style ="" width: 12px; margin-right: 12px; ""&gt; &lt;/ div&gt; &lt;div tabindex ="" - 1 ""class ="" airy-audio-elements ""style ="" float: right; width: 34px; ""&gt; &lt;div tabindex ="" - 1 ""class ="" airy-audio-t"&amp;"oggle airy-on ""&gt; &lt;/ div&gt; &lt;div tabindex ="" - 1 ""class ="" airy-audio-container ""style = ""opacity: 0; visibility: hidden; ""&gt; &lt;div tabindex ="" - 1 ""class ="" airy-audio-track-bar ""style ="" height: 80%; ""&gt; &lt;div tabindex ="" - 1 ""class ="" airy-aud"&amp;"io- scrubber bar ""style ="" height: 85% ""&gt; &lt;/ div&gt; &lt;div tabindex ="" - 1 ""class ="" airy-audio-scrubber ""style ="" height: 12px; bottom: 85% ""&gt; &lt;/ div&gt; &lt;/ div&gt; &lt;/ div&gt; &lt;/ div&gt; &lt;div tabindex ="" - 1 ""class ="" airy-duration-label ""style ="" float: r"&amp;"ight; width: 26px; margin-right: 4px; text-align: center; ""&gt; 0:00 &lt;/ div&gt; &lt;div tabindex ="" - 1 ""class ="" airy-track-bar spacer-right ""style ="" float: right; width: 11px; ""&gt; &lt;/ div&gt; &lt;div tabindex ="" - 1 ""class ="" airy-track-bar-container ""style "&amp;"="" margin-left: 35px; margin-right: 75px; ""&gt; &lt;div tabindex ="" - 1 ""class ="" airy-airy-track-bar vertical-centering-table ""&gt; &lt;div tabindex ="" - 1 ""class ="" airy-vertical-centering- table-cell ""&gt; &lt;div tabindex ="" - 1 ""class ="" airy-track-bar el"&amp;"ements ""&gt; &lt;div tabindex ="" - 1 ""class ="" airy-progress bar ""&gt; &lt;/ div&gt; &lt;div tabindex = ""- 1"" class = ""airy-scrubber bar""&gt; &lt;/ div&gt; &lt;div tabindex = ""- 1"" class = ""airy-scrubber""&gt; &lt;div tabindex = ""- 1"" class = ""airy-scrubber- icon ""&gt; &lt;/ div&gt; "&amp;"&lt;div tabindex ="" - 1 ""class ="" airy-adjusted-aui-tooltip ""style ="" opacity: 0; visibility: hidden; ""&gt; &lt;div tabindex ="" - 1 ""class ="" airy-adjusted-aui-tooltip-inner ""&gt; &lt;div tabindex ="" - 1 ""class ="" airy-current-time-label ""&gt; 0 00 &lt;/ div&gt; &lt;/"&amp;" div&gt; &lt;div tabindex = ""- 1"" class = ""airy-adjusted-aui-arrow-border""&gt; &lt;div tabindex = ""- 1"" class = ""airy-adjusted-aui-arrow"" &gt; &lt;/ div&gt; &lt;/ div&gt; &lt;/ div&gt; &lt;/ div&gt; &lt;/ div&gt; &lt;/ div&gt; &lt;/ div&gt; &lt;/ div&gt; &lt;/ div&gt; &lt;/ div&gt; &lt;div tabindex = ""- 1"" class = ""airy-"&amp;"airy-age-gate course airy-vertical-centering table-airy-dialog"" style = ""opacity: 0; visibility: hidden; ""&gt; &lt;div tabindex ="" - 1 ""class ="" airy-age-gate-vertical-centering-table-cell airy-vertical-centering-table-cell ""&gt; &lt;div tabindex ="" - 1 ""cla"&amp;"ss = ""airy-vertical-centering-wrapper airy-age-gate-elements-wrapper""&gt; &lt;div tabindex = ""- 1"" class = ""airy-age-gate-elements airy-dialog-elements""&gt; &lt;div tabindex = "" -1 ""class ="" airy-age-gate-prompt ""&gt; This video is not Intended for all audienc"&amp;"es What time were you born &lt;/ div&gt; &lt;div tabindex =.?"" - 1 ""class ="" airy-age-gate -inputs airy-dialog-inner-elements ""&gt; &lt;select tabindex ="" - 1 ""class ="" airy-age-gate-month ""&gt; &lt;option value ="" 1 ""&gt; January &lt;/ option&gt; &lt;option value ="" 2 ""&gt; Feb"&amp;"ruary &lt;/ option&gt; &lt;option value ="" 3 ""&gt; March &lt;/ option&gt; &lt;option value ="" 4 ""&gt; April &lt;/ option&gt; &lt;option value ="" 5 ""&gt; May &lt;/ option&gt; &lt;option value = ""6""&gt; June &lt;/ option&gt; &lt;option value = ""7""&gt; July &lt;/ option&gt; &lt;option value = ""8""&gt; August &lt;/ option"&amp;"&gt; &lt;option value = ""9""&gt; September &lt;/ option&gt; &lt;option value = ""10""&gt; October &lt;/ option&gt; &lt;option value = ""11""&gt; November &lt;/ option&gt; &lt;option value = ""12""&gt; December &lt;/ option&gt; &lt;/ select&gt; &lt;select tabindex = ""- 1"" class = ""airy-age-gate-day""&gt; &lt;opti = O"&amp;"ne value ""1""&gt; 1 &lt;/ option&gt; &lt;option value = ""2""&gt; 2 &lt;/ option&gt; &lt;option value = ""3""&gt; 3 &lt;/ option&gt; &lt;option value = ""4""&gt; 4 &lt;/ option &gt; &lt;option value = ""5""&gt; 5 &lt;/ option&gt; &lt;option value = ""6""&gt; 6 &lt;/ option&gt; &lt;option value = ""7""&gt; 7 &lt;/ option&gt; &lt;option v"&amp;"alue = ""8""&gt; 8 &lt; / option&gt; &lt;option value = ""9""&gt; 9 &lt;/ option&gt; &lt;option value = ""10""&gt; 10 &lt;/ option&gt; &lt;option value = ""11""&gt; 11 &lt;/ option&gt; &lt;option value = ""12""&gt; 12 &lt;/ option&gt; &lt;option value = ""13""&gt; 13 &lt;/ option&gt; &lt;option value = ""14""&gt; 14 &lt;/ option&gt; &lt;"&amp;"option value = ""15""&gt; 15 &lt;/ option&gt; &lt;option value = ""16 ""&gt; 16 &lt;/ option&gt; &lt;option value ="" 17 ""&gt; 17 &lt;/ option&gt; &lt;option value ="" 18 ""&gt; 18 &lt;/ option&gt; &lt;option value ="" 19 ""&gt; 19 &lt;/ option&gt; &lt;option value = ""20""&gt; 20 &lt;/ option&gt; &lt;option value = ""21""&gt; "&amp;"21 &lt;/ option&gt; &lt;option value = ""22""&gt; 22 &lt;/ option&gt; &lt;option value = ""23""&gt; 23 &lt;/ option&gt; &lt;option value = ""24""&gt; 24 &lt;/ option&gt; &lt;option value = ""25""&gt; 25 &lt;/ option&gt; &lt;option value = ""26""&gt; 26 &lt;/ option&gt; &lt;option value = ""27""&gt; 27 &lt;/ option&gt; &lt;option value"&amp;" = ""28""&gt; 28 &lt;/ option&gt; &lt;option value = ""29""&gt; 29 &lt;/ option&gt; &lt;option value = ""30""&gt; 30 &lt;/ option&gt; &lt;option value = ""31""&gt; 31 &lt;/ option&gt; &lt;/ select&gt; &lt;select tabindex = ""- 1"" class = ""airy-age-gate-year""&gt; &lt;option value = ""2019""&gt; 2019 &lt;/ option&gt; &lt; op"&amp;"tion value = ""2018""&gt; 2018 &lt;/ option&gt; &lt;option value = ""2017""&gt; 2017 &lt;/ option&gt; &lt;option value = ""2016""&gt; ​​2016 &lt;/ option&gt; &lt;option value = ""2015""&gt; 2015 &lt;/ option &gt; &lt;option value = ""2014""&gt; 2014 &lt;/ option&gt; &lt;option value = ""2013""&gt; 2013 &lt;/ option&gt; &lt;op"&amp;"tion value = ""2012""&gt; 2012 &lt;/ option&gt; &lt;option value = ""2011""&gt; 2011 &lt; / option&gt; &lt;option value = ""2010""&gt; 2010 &lt;/ option&gt; &lt;option value = ""2009""&gt; 2009 &lt;/ option&gt; &lt;option value = ""2008""&gt; 2008 &lt;/ option&gt; &lt;option value = ""2007""&gt; 2007 &lt;/ option&gt; &lt;opti"&amp;"on value = ""2006""&gt; 2006 &lt;/ option&gt; &lt;option value = ""2005""&gt; 2005 &lt;/ option&gt; &lt;option value = ""2004""&gt; 2004 &lt;/ option&gt; &lt;option value = ""2003 ""&gt; 2003 &lt;/ option&gt; &lt;option value ="" 2002 ""&gt; 2002 &lt;/ option&gt; &lt;option value ="" 2001 ""&gt; 2001 &lt;/ option&gt; &lt;opti"&amp;"on value ="" 2000 ""&gt; 2000 &lt;/ option&gt; &lt;option value = ""1999""&gt; 1999 &lt;/ option&gt; &lt;option value = ""1998""&gt; 1998 &lt;/ option&gt; &lt;option value = ""1997""&gt; 1997 &lt;/ option&gt; &lt;option value = ""1996""&gt; 1996 &lt;/ option&gt; &lt;option value = ""1995""&gt; 1995 &lt;/ option&gt; &lt;option"&amp;" value = ""1994""&gt; 1994 &lt;/ option&gt; &lt;option value = ""1993""&gt; 1993 &lt;/ option&gt; &lt;option value = ""1992""&gt; 1992 &lt;/ option&gt; &lt;option value = ""1991""&gt; 1991 &lt;/ option&gt; &lt;option value = ""1990""&gt; 1990 &lt;/ option&gt; &lt;option value = "" 1989 ""&gt; 1989 &lt;/ option&gt; &lt;option "&amp;"value ="" 1988 ""&gt; 1988 &lt;/ option&gt; &lt;option value ="" 1987 ""&gt; 1987 &lt;/ option&gt; &lt;option value ="" 1986 ""&gt; 1986 &lt;/ option&gt; &lt;option value = ""1985""&gt; 1985 &lt;/ option&gt; &lt;option value = ""1984""&gt; 1984 &lt;/ option&gt; &lt;option value = ""1983""&gt; 1983 &lt;/ option&gt; &lt;option "&amp;"value = ""1982""&gt; 1982 &lt;/ option&gt; &lt; option value = ""1981""&gt; 1981 &lt;/ option&gt; &lt;option value = ""1980""&gt; 1980 &lt;/ option&gt; &lt;option value = ""1979""&gt; 1979 &lt;/ option&gt; &lt;option value = ""1978""&gt; 1978 &lt;/ option &gt; &lt;option value = ""1977""&gt; 1977 &lt;/ option&gt; &lt;option v"&amp;"alue = ""1976""&gt; 1976 &lt;/ option&gt; &lt;option value = ""1975""&gt; 1975 &lt;/ option&gt; &lt;option value = ""1974""&gt; 1974 &lt; / option&gt; &lt;option value = ""1973""&gt; 1973 &lt;/ option&gt; &lt;option value = ""1972""&gt; 1972 &lt;/ option&gt; &lt;option value = ""1971""&gt; 1971 &lt;/ option&gt; &lt;option val"&amp;"ue = ""1970""&gt; 1970 &lt;/ option&gt; &lt;option value = ""1969""&gt; 1969 &lt;/ option&gt; &lt;option value = ""1968""&gt; 1968 &lt;/ option&gt; &lt;option value = ""1967""&gt; 1967 &lt;/ option&gt; &lt;option value = ""1966 ""&gt; 1966 &lt;/ option&gt; &lt;option value ="" 1965 ""&gt; 1965 &lt;/ option&gt; &lt;option valu"&amp;"e ="" 1964 ""&gt; 1964 &lt;/ option&gt; &lt;option value ="" 1963 ""&gt; 1963 &lt;/ option&gt; &lt;option value = ""1962""&gt; 1962 &lt;/ option&gt; &lt;option value = ""1961""&gt; 1961 &lt;/ option&gt; &lt;option value = ""1960""&gt; 1960 &lt;/ op tion&gt; &lt;option value = ""1959""&gt; 1959 &lt;/ option&gt; &lt;option valu"&amp;"e = ""1958""&gt; 1958 &lt;/ option&gt; &lt;option value = ""1957""&gt; 1957 &lt;/ option&gt; &lt;option value = ""1956""&gt; 1956 &lt;/ option&gt; &lt;option value = ""1955""&gt; 1955 &lt;/ option&gt; &lt;option value = ""1954""&gt; 1954 &lt;/ option&gt; &lt;option value = ""1953""&gt; 1953 &lt;/ option&gt; &lt;option value ="&amp;" ""1952"" &gt; 1952 &lt;/ option&gt; &lt;option value = ""1951""&gt; 1951 &lt;/ option&gt; &lt;option value = ""1950""&gt; 1950 &lt;/ option&gt; &lt;option value = ""1949""&gt; 1949 &lt;/ option&gt; &lt;option value = "" 1948 ""&gt; 1948 &lt;/ option&gt; &lt;option value ="" 1947 ""&gt; 1947 &lt;/ option&gt; &lt;option value "&amp;"="" 1946 ""&gt; 1946 &lt;/ option&gt; &lt;option value ="" 1945 ""&gt; 1945 &lt;/ option&gt; &lt;option value = ""1944""&gt; 1944 &lt;/ option&gt; &lt;option value = ""1943""&gt; 1943 &lt;/ option&gt; &lt;option value = ""1942""&gt; 1942 &lt;/ option&gt; &lt;option value = ""1941""&gt; 1941 &lt;/ option&gt; &lt; option value "&amp;"= ""1940""&gt; 1940 &lt;/ option&gt; &lt;option value = ""1939""&gt; 1939 &lt;/ option&gt; &lt;option value = ""1938""&gt; 1938 &lt;/ option&gt; &lt;option value = ""1937""&gt; 1937 &lt;/ option &gt; &lt;option value = ""1936""&gt; 1936 &lt;/ option&gt; &lt;option value = ""1935""&gt; 1935 &lt;/ option&gt; &lt;option value = "&amp;"""1934""&gt; 1934 &lt;/ option&gt; &lt;option value = ""1933""&gt; 1933 &lt; / option&gt; &lt;option value = ""1932""&gt; 1932 &lt;/ option&gt; &lt;option value = ""1931""&gt; 1931 &lt;/ option&gt; &lt;option v alue = ""1930""&gt; 1930 &lt;/ option&gt; &lt;option value = ""1929""&gt; 1929 &lt;/ option&gt; &lt;option value = "&amp;"""1928""&gt; 1928 &lt;/ option&gt; &lt;option value = ""1927""&gt; 1927 &lt;/ option&gt; &lt;option value = ""1926""&gt; 1926 &lt;/ option&gt; &lt;option value = ""1925""&gt; 1925 &lt;/ option&gt; &lt;option value = ""1924""&gt; 1924 &lt;/ option&gt; &lt;option value = ""1923""&gt; 1923 &lt;/ option&gt; &lt;option value = ""1"&amp;"922""&gt; 1922 &lt;/ option&gt; &lt;option value = ""1921""&gt; 1921 &lt;/ option&gt; &lt;option value = ""1920""&gt; 1920 &lt;/ option&gt; &lt;option value = ""1919""&gt; 1919 &lt;/ option&gt; &lt;option value = ""1918""&gt; 1918 &lt;/ option&gt; &lt;option value = ""1917""&gt; 1917 &lt;/ option&gt; &lt;option value = ""1916"&amp;"""&gt; 1916 &lt;/ option&gt; &lt;option value = ""1915"" &gt; 1915 &lt;/ option&gt; &lt;option value = ""1914""&gt; 1914 &lt;/ option&gt; &lt;option value = ""1913""&gt; 1913 &lt;/ option&gt; &lt;option value = ""1912""&gt; 1912 &lt;/ option&gt; &lt;option value = "" 1911 ""&gt; 1911 &lt;/ option&gt; &lt;option value ="" 1910"&amp;" ""&gt; 1910 &lt;/ option&gt; &lt;option value ="" 1909 ""&gt; 1909 &lt;/ option&gt; &lt;option value ="" 1908 ""&gt; 1908 &lt;/ option&gt; &lt;option value = ""1907""&gt; 1907 &lt;/ option&gt; &lt;option value = ""1906""&gt; 1906 &lt;/ option&gt; &lt;option value = ""1905""&gt; 1905 &lt;/ option&gt; &lt;option value = ""1904"&amp;"""&gt; 1904 &lt;/ option&gt; &lt; option value = ""1903""&gt; 1903 &lt;/ option&gt; &lt;option value = ""1902""&gt; 1902 &lt;/ option&gt; &lt;option value = ""1901""&gt; 19 01 &lt;/ option&gt; &lt;option value = ""1900""&gt; 1900 &lt;/ option&gt; &lt;/ select&gt; &lt;div tabindex = ""- 1"" class = ""airy-age-gate-submit"&amp;" airy-submit-button airy airy-submit- disabled ""&gt; Submit &lt;/ div&gt; &lt;/ div&gt; &lt;/ div&gt; &lt;/ div&gt; &lt;/ div&gt; &lt;/ div&gt; &lt;div tabindex ="" - 1 ""class ="" airy-install-flash-dialog airy-course airy -Vertical-centering-table dialog airy-airy-denied ""style ="" opacity: 0"&amp;"; visibility: hidden; ""&gt; &lt;div tabindex ="" - 1 ""class ="" airy-install-flash-vertical-centering-table-cell airy-vertical-centering-table-cell ""&gt; &lt;div tabindex ="" - 1 ""class = ""airy-vertical-centering-wrapper airy-install-flash-elements-wrapper""&gt; &lt;d"&amp;"iv tabindex = ""- 1"" class = ""airy-install-flash-elements airy-dialog-elements""&gt; &lt;div tabindex = "" -1 ""class ="" airy-install-flash-prompt ""&gt; Adobe Flash Player is required to watch this video &lt;/ div&gt; &lt;div = tabindex."" - 1 ""class ="" airy-install-"&amp;"flash-button-wrapper airy -dialog-inner-elements ""&gt; &lt;div tabindex ="" - 1 ""class ="" airy-install-flash-button airy-button ""&gt; install Flash Player &lt;/ div&gt; &lt;/ div&gt; &lt;/ div&gt; &lt;/ div&gt; &lt;/ div&gt; &lt;/ div&gt; &lt;div tabindex = ""- 1"" class = ""airy-video-unsupported-"&amp;"dialog airy-course airy-vertical-centering table-airy-dialog airy-denied"" style = ""opacity: 0; visibility: hidden; ""&gt; &lt;div tabindex ="" - 1 ""class ="" airy-video-unsupported-vertical-centering-table-cell airy-vertical-centering-table-cell ""&gt; &lt;div tab"&amp;"index ="" - 1 ""class = ""airy-vertical-centering-wrapper airy-video-unsupported-elements-wrapper""&gt; &lt;div tabindex = ""- 1"" class = ""airy-video-unsupported-elements airy-dialog-elements""&gt; &lt;div tabindex = "" -1 ""class ="" airy-video-unsupported-prompt "&amp;"""&gt; &lt;/ div&gt; &lt;/ div&gt; &lt;/ div&gt; &lt;/ div&gt; &lt;/ div&gt; &lt;div tabindex ="" - 1 ""class ="" airy-loading- spinner-stage airy-stage ""&gt; &lt;div tabindex ="" - 1 ""class ="" airy-loading-spinner-vertical-centering-table-cell airy-vertical-centering-table-cell ""&gt; &lt;div tabin"&amp;"dex ="" - 1 ""class ="" airy-loading-spinner container airy-scalable-hint-container ""&gt; &lt;div tabindex ="" - 1 ""class ="" airy-loading-spinner-dummy airy-scalable-dummy ""&gt; &lt;/ div&gt; &lt; div tabindex = ""- 1"" class = ""airy-loading-spinner airy-hint"" style "&amp;"= ""visibility: hidden;""&gt; &lt;/ div&gt; &lt;/ div&gt; &lt;/ div&gt; &lt;/ div&gt; &lt;div tabindex = ""- 1 ""class ="" airy-ads-screen-size-toggle airy-screen-size-toggle airy-fullscreen ""style ="" visibility: hidden; ""&gt; &lt;/ div&gt; &lt;div tabindex = ""-1"" class = ""airy-ad-prompt-co"&amp;"ntainer"" style = ""visibility: hidden;""&gt; &lt;div tabindex = ""- 1"" class = ""airy-ad-prompt-vertical-centering table-airy-vertical- centering-table ""&gt; &lt;div tabindex ="" - 1 ""class ="" airy-ad-prompt-vertical-centering-table-cell airy-vertical-centering-"&amp;"table-cell ""&gt; &lt;div tabindex ="" - 1 ""class = ""airy-ad-prompt-label""&gt; &lt;/ div&gt; &lt;/ div&gt; &lt;/ div&gt; &lt;/ div&gt; &lt;div tabindex = ""- 1"" class = ""airy-ads-controls-container"" style = ""visibility: hidden; ""&gt; &lt;div tabindex ="" - 1 ""class ="" airy-ads-audio-tog"&amp;"gle airy-audio-toggle airy-on ""style ="" visibility: hidden; ""&gt; &lt;/ div&gt; &lt;div tabindex ="" - 1 ""class ="" airy-time-remaining-label-container ""&gt; &lt;div tabindex ="" - 1 ""class ="" airy-time-remaining-vertical-centering table-airy-vertical-centering-tabl"&amp;"e ""&gt; &lt;div tabindex = ""- 1"" class = ""airy-time-remaining-vertical-centering-table-cell airy-vertical-centering-table-cell""&gt; &lt;div tabindex = ""- 1"" class = ""airy-vertical-centering-wrapper airy-time-remaining-label-wrapper ""&gt; &lt;div tabindex ="" - 1 "&amp;"""class ="" airy-time-remaining-label ""style ="" visibility: hidden; ""&gt; &lt;/ div&gt; &lt;div tabi ndex = ""- 1"" class = ""airy-ad-skip"" style = ""visibility: hidden;""&gt; &lt;/ div&gt; &lt;div tabindex = ""- 1"" class = ""airy-ad-end"" style = ""visibility: hidden; ""&gt; "&amp;"&lt;/ div&gt; &lt;/ div&gt; &lt;/ div&gt; &lt;/ div&gt; &lt;/ div&gt; &lt;div tabindex ="" - 1 ""class ="" airy-learn-more ""style ="" visibility: hidden; ""&gt; &lt;/ div&gt; &lt;/ div&gt; &lt;div tabindex = ""- 1"" class = ""airy-play-toggle-hint-stage airy-course airy-cursor""&gt; &lt;div tabindex = ""- 1"" "&amp;"class = ""airy-play -toggle-hint-vertical-centering-table-cell airy-vertical-centering-table-cell airy-cursor ""&gt; &lt;div tabindex ="" - 1 ""class ="" airy-play-toggle-hint-container airy-scalable- hint-container ""&gt; &lt;div tabindex ="" - 1 ""class ="" airy-pl"&amp;"ay-toggle-hint-dummy airy-scalable-dummy ""&gt; &lt;/ div&gt; &lt;div tabindex ="" - 1 ""class ="" airy-play -toggle airy-hint-hint-hint airy-play ""style ="" opacity: 1; visibility: visible; ""&gt; &lt;/ div&gt; &lt;/ div&gt; &lt;/ div&gt; &lt;/ div&gt; &lt;div tabindex ="" - 1 ""class ="" airy-"&amp;"replay-hint-stage airy-stage ""style ="" visibility: hidden ; ""&gt; &lt;div tabindex ="" - 1 ""class ="" airy-replay-hint-vertical-centering-table-cell airy-vertical-centering-table-cell airy-cursor ""&gt; &lt;div tabindex ="" - 1 ""class = ""airy-replay-hint-contai"&amp;"ner airy-scalable-hint-container""&gt; &lt;div tabindex = ""- 1"" class = ""airy-replay-hint-dummy airy-scalable-dummy""&gt; &lt;/ div&gt; &lt;div tabindex = ""- 1"" class = ""airy-replay-hint airy-hint""&gt; &lt;/ div&gt; &lt;/ div&gt; &lt;/ div&gt; &lt;/ div&gt; &lt;div tabindex = ""- 1"" class = ""a"&amp;"iry-autoplay-hint -stage airy-stage ""style ="" visibility: hidden; ""&gt; &lt;div tabindex ="" - 1 ""class ="" airy-autoplay-hint-vertical-centering-table-cell airy-vertical-centering-table-cell airy- cursor ""&gt; &lt;div tabindex ="" - 1 ""class ="" autoplay airy-"&amp;"airy-hint-container-scalable-hint-container ""&gt; &lt;div tabindex ="" - 1 ""class ="" airy-autoplay-hint-dummy airy- scalable-dummy ""&gt; &lt;/ div&gt; &lt;/ div&gt; &lt;/ div&gt; &lt;/ div&gt; &lt;/ div&gt; &lt;/ div&gt; &lt;input type ="" hidden ""name ="" ""value ="" https: // pictures-eu .ssl-im"&amp;"age amazon.com / images / I / B1G482iDgmS.mp4 ""Class ="" video-url ""&gt; &lt;input type ="" hidden ""name ="" ""value ="" https://images-eu.ssl-images-amazon.com/images/I/91OSl-QuXCS.png ""class = ""video-slate-img-url""&gt; &amp; nbsp; Perfect after a day of work o"&amp;"r even after sports waaaa lol I have a callus on foot and it relieves me vraiment..pression fingers, kneading, roller and airbag function chauffage.Attention however to respect the 15 minutes and not too much pressure with the legs, you risk hurting yours"&amp;"elf but otherwise it is a nice device to see in time ...")</f>
        <v>Foot massager 5kg &lt;div id = "video-block-R1SV7XGSVHR8X0" class = "a-section-spacing-small-spacing has-top video mini-block"&gt; &lt;div tabindex = "0" class = "airy airy- svg vmin-unsupported airy-skin-beacon "style =" background-color: rgb (0, 0, 0); position: relative; width: 100%; height: 100%; font-size: 0px; overflow: hidden; outline: none; "&gt; &lt;div class =" airy-renderer container "style =" position: relative; height: 100%; width: 100%; "&gt; &lt;video id =" 103 "preload =" auto "src = "https://images-eu.ssl-images-amazon.com/images/I/B1G482iDgmS.mp4" style = "position: absolute; left: 0px; top: 0px; overflow: hidden; height: 1px; width: 1px; "&gt; &lt;/ video&gt; &lt;/ div&gt; &lt;div id =" airy-slate-preload "style =" background-color: rgb (0, 0, 0); background-image: url (&amp; quot; https: / /images-eu.ssl-images-amazon.com/images/I/91OSl-QuXCS.png&amp;quot;); background-size: contain; background-position: center center; background-repeat: no-repeat; position: absolute; top: 0px; left: 0px; visibility: visible; width: 100%; height: 100% "&gt; &lt;/ div&gt; &lt;iframe scroll Eng = "no" frameborder = "0" src = "about: blank" style = "display: none;"&gt; &lt;/ iframe&gt; &lt;div tabindex = "- 1" class = "airy-controls-container" style = " opacity: 0; visibility: hidden; "&gt; &lt;div tabindex =" - 1 "class =" airy-screen-size-toggle airy-fullscreen "&gt; &lt;/ div&gt; &lt;div tabindex =" - 1 "class =" airy-container-bottom " &gt; &lt;div tabindex = "- 1" class = "airy-track-bar spacer-left" style = "width: 11px;"&gt; &lt;/ div&gt; &lt;div tabindex = "- 1" class = "airy-play- toggle airy-play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 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 spacer-right "style =" float: right; width: 11px; "&gt; &lt;/ div&gt; &lt;div tabindex =" - 1 "class =" airy-track-bar-container "style =" margin-left: 35px; margin-right: 75px; "&gt; &lt;div tabindex =" - 1 "class =" airy-airy-track-bar vertical-centering-table "&gt; &lt;div tabindex =" - 1 "class =" airy-vertical-centering- table-cell "&gt; &lt;div tabindex =" - 1 "class =" airy-track-bar elements "&gt; &lt;div tabindex =" - 1 "class =" airy-progress bar "&gt; &lt;/ div&gt; &lt;div tabindex = "- 1" class = "airy-scrubber 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"airy-airy-age-gate course airy-vertical-centering table-airy-dialog"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time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 One value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&lt;option value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&lt;option value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&lt;option value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airy-course airy -Vertical-centering-table dialog airy-airy-denied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 tabindex." - 1 "class =" airy-install-flash-button-wrapper airy -dialog-inner-elements "&gt; &lt;div tabindex =" - 1 "class =" airy-install-flash-button airy-button "&gt; install Flash Player &lt;/ div&gt; &lt;/ div&gt; &lt;/ div&gt; &lt;/ div&gt; &lt;/ div&gt; &lt;/ div&gt; &lt;div tabindex = "- 1" class = "airy-video-unsupported-dialog airy-course airy-vertical-centering table-airy-dialog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 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 airy-fullscreen "style =" visibility: hidden; "&gt; &lt;/ div&gt; &lt;div tabindex = "-1" class = "airy-ad-prompt-container" style = "visibility: hidden;"&gt; &lt;div tabindex = "- 1" class = "airy-ad-prompt-vertical-centering table-airy-vertical-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 table-airy-vertical-centering-table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airy-course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 airy-hint-hint-hint airy-play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pictures-eu .ssl-image amazon.com / images / I / B1G482iDgmS.mp4 "Class =" video-url "&gt; &lt;input type =" hidden "name =" "value =" https://images-eu.ssl-images-amazon.com/images/I/91OSl-QuXCS.png "class = "video-slate-img-url"&gt; &amp; nbsp; Perfect after a day of work or even after sports waaaa lol I have a callus on foot and it relieves me vraiment..pression fingers, kneading, roller and airbag function chauffage.Attention however to respect the 15 minutes and not too much pressure with the legs, you risk hurting yourself but otherwise it is a nice device to see in time ...</v>
      </c>
    </row>
    <row r="2953">
      <c r="A2953" s="1">
        <v>5.0</v>
      </c>
      <c r="B2953" s="1" t="s">
        <v>2929</v>
      </c>
      <c r="C2953" t="str">
        <f>IFERROR(__xludf.DUMMYFUNCTION("GOOGLETRANSLATE(B2953, ""fr"", ""en"")"),"practical and very light my husband is very happy little bag, it is light, full of pockets inside or laptop either for glasses, it can store many things, the strap is not too large, it short he likes a lot.")</f>
        <v>practical and very light my husband is very happy little bag, it is light, full of pockets inside or laptop either for glasses, it can store many things, the strap is not too large, it short he likes a lot.</v>
      </c>
    </row>
    <row r="2954">
      <c r="A2954" s="1">
        <v>5.0</v>
      </c>
      <c r="B2954" s="1" t="s">
        <v>2930</v>
      </c>
      <c r="C2954" t="str">
        <f>IFERROR(__xludf.DUMMYFUNCTION("GOOGLETRANSLATE(B2954, ""fr"", ""en"")"),"Beautiful Basckets The size corresponds. They are white and comfortable. Received quickly. Although the summer. Goes well with any outfit.")</f>
        <v>Beautiful Basckets The size corresponds. They are white and comfortable. Received quickly. Although the summer. Goes well with any outfit.</v>
      </c>
    </row>
    <row r="2955">
      <c r="A2955" s="1">
        <v>5.0</v>
      </c>
      <c r="B2955" s="1" t="s">
        <v>2931</v>
      </c>
      <c r="C2955" t="str">
        <f>IFERROR(__xludf.DUMMYFUNCTION("GOOGLETRANSLATE(B2955, ""fr"", ""en"")"),"great product !!! seller very professional !!! genial on top Awesome !!!! Super fast delivery level. The professionalism of the seller is perfect with noted warranty paper and dab. This is shown in this box looks small but fine with me wrist !!! 5 minutes"&amp;" to the set")</f>
        <v>great product !!! seller very professional !!! genial on top Awesome !!!! Super fast delivery level. The professionalism of the seller is perfect with noted warranty paper and dab. This is shown in this box looks small but fine with me wrist !!! 5 minutes to the set</v>
      </c>
    </row>
    <row r="2956">
      <c r="A2956" s="1">
        <v>5.0</v>
      </c>
      <c r="B2956" s="1" t="s">
        <v>2932</v>
      </c>
      <c r="C2956" t="str">
        <f>IFERROR(__xludf.DUMMYFUNCTION("GOOGLETRANSLATE(B2956, ""fr"", ""en"")"),"excellent shoe we're excited, comfortable, easily cleanable our 11 year old son yet unbearable to dress the love !! is recommended")</f>
        <v>excellent shoe we're excited, comfortable, easily cleanable our 11 year old son yet unbearable to dress the love !! is recommended</v>
      </c>
    </row>
    <row r="2957">
      <c r="A2957" s="1">
        <v>2.0</v>
      </c>
      <c r="B2957" s="1" t="s">
        <v>2933</v>
      </c>
      <c r="C2957" t="str">
        <f>IFERROR(__xludf.DUMMYFUNCTION("GOOGLETRANSLATE(B2957, ""fr"", ""en"")"),"Received in poor condition and poor quality I bought for € 2.59 Total Model 3 chains with Swarovski crystals drops. I received a lower quality product, with crystals do not correspond to my first purchase. And the chains that had been crushed, would not r"&amp;"esume a falling shape. So I asked a new article to my order. The seller has not considered my application or my answer, and repaid. The price of these loops being very volatile, if I want to buy these earrings, I have to pay 3 to 4 times more expensive.")</f>
        <v>Received in poor condition and poor quality I bought for € 2.59 Total Model 3 chains with Swarovski crystals drops. I received a lower quality product, with crystals do not correspond to my first purchase. And the chains that had been crushed, would not resume a falling shape. So I asked a new article to my order. The seller has not considered my application or my answer, and repaid. The price of these loops being very volatile, if I want to buy these earrings, I have to pay 3 to 4 times more expensive.</v>
      </c>
    </row>
    <row r="2958">
      <c r="A2958" s="1">
        <v>1.0</v>
      </c>
      <c r="B2958" s="1" t="s">
        <v>2934</v>
      </c>
      <c r="C2958" t="str">
        <f>IFERROR(__xludf.DUMMYFUNCTION("GOOGLETRANSLATE(B2958, ""fr"", ""en"")"),"Defective I am very disappointed, the Bluetooth headset does not work at all ... At the price it is and as it is its main function, it is a shame! In addition, assistance told me that she would put me in touch with Marshall's service directly and it has n"&amp;"ever been done!")</f>
        <v>Defective I am very disappointed, the Bluetooth headset does not work at all ... At the price it is and as it is its main function, it is a shame! In addition, assistance told me that she would put me in touch with Marshall's service directly and it has never been done!</v>
      </c>
    </row>
    <row r="2959">
      <c r="A2959" s="1">
        <v>1.0</v>
      </c>
      <c r="B2959" s="1" t="s">
        <v>2935</v>
      </c>
      <c r="C2959" t="str">
        <f>IFERROR(__xludf.DUMMYFUNCTION("GOOGLETRANSLATE(B2959, ""fr"", ""en"")"),"No 'I opened my package and nothing in yavait")</f>
        <v>No 'I opened my package and nothing in yavait</v>
      </c>
    </row>
    <row r="2960">
      <c r="A2960" s="1">
        <v>3.0</v>
      </c>
      <c r="B2960" s="1" t="s">
        <v>2936</v>
      </c>
      <c r="C2960" t="str">
        <f>IFERROR(__xludf.DUMMYFUNCTION("GOOGLETRANSLATE(B2960, ""fr"", ""en"")"),"Beautiful but ... It is beautiful, looks good (to see over time) but one flaw: the leather rubbed off on the plain clothes.")</f>
        <v>Beautiful but ... It is beautiful, looks good (to see over time) but one flaw: the leather rubbed off on the plain clothes.</v>
      </c>
    </row>
    <row r="2961">
      <c r="A2961" s="1">
        <v>3.0</v>
      </c>
      <c r="B2961" s="1" t="s">
        <v>2937</v>
      </c>
      <c r="C2961" t="str">
        <f>IFERROR(__xludf.DUMMYFUNCTION("GOOGLETRANSLATE(B2961, ""fr"", ""en"")"),"Hello beautiful pairs of safety shoes I bought for shape and have a light pair. As trainer, workshop it is slight. For intense use against taking anything scheduled.")</f>
        <v>Hello beautiful pairs of safety shoes I bought for shape and have a light pair. As trainer, workshop it is slight. For intense use against taking anything scheduled.</v>
      </c>
    </row>
    <row r="2962">
      <c r="A2962" s="1">
        <v>4.0</v>
      </c>
      <c r="B2962" s="1" t="s">
        <v>2938</v>
      </c>
      <c r="C2962" t="str">
        <f>IFERROR(__xludf.DUMMYFUNCTION("GOOGLETRANSLATE(B2962, ""fr"", ""en"")"),"Good product keeps you warm, but the cover leaves stuffed bcp on fabric")</f>
        <v>Good product keeps you warm, but the cover leaves stuffed bcp on fabric</v>
      </c>
    </row>
    <row r="2963">
      <c r="A2963" s="1">
        <v>4.0</v>
      </c>
      <c r="B2963" s="1" t="s">
        <v>2939</v>
      </c>
      <c r="C2963" t="str">
        <f>IFERROR(__xludf.DUMMYFUNCTION("GOOGLETRANSLATE(B2963, ""fr"", ""en"")"),"A4 MX410 BLACK exellent SHEET PRINTER MX 410 THESE SOLID .. SO I THE RECOMMENDED ON 10 10. JEANCLAUDE AIX EN PROVENCE")</f>
        <v>A4 MX410 BLACK exellent SHEET PRINTER MX 410 THESE SOLID .. SO I THE RECOMMENDED ON 10 10. JEANCLAUDE AIX EN PROVENCE</v>
      </c>
    </row>
    <row r="2964">
      <c r="A2964" s="1">
        <v>4.0</v>
      </c>
      <c r="B2964" s="1" t="s">
        <v>2940</v>
      </c>
      <c r="C2964" t="str">
        <f>IFERROR(__xludf.DUMMYFUNCTION("GOOGLETRANSLATE(B2964, ""fr"", ""en"")"),"The very beautiful loock is just beautiful, very nice coffee which despite its tiny 1L7 seems automatic stop top Small light blue when the unit is ennmarche c is appreciable. It's still burning very hot when I find the time to qm long enough heating, it t"&amp;"akes almost 6min 1L7 to heat water ... it's a bit long to my taste.")</f>
        <v>The very beautiful loock is just beautiful, very nice coffee which despite its tiny 1L7 seems automatic stop top Small light blue when the unit is ennmarche c is appreciable. It's still burning very hot when I find the time to qm long enough heating, it takes almost 6min 1L7 to heat water ... it's a bit long to my taste.</v>
      </c>
    </row>
    <row r="2965">
      <c r="A2965" s="1">
        <v>4.0</v>
      </c>
      <c r="B2965" s="1" t="s">
        <v>2941</v>
      </c>
      <c r="C2965" t="str">
        <f>IFERROR(__xludf.DUMMYFUNCTION("GOOGLETRANSLATE(B2965, ""fr"", ""en"")"),"consistent with the description Nothing satisfies Comfortable good performance")</f>
        <v>consistent with the description Nothing satisfies Comfortable good performance</v>
      </c>
    </row>
    <row r="2966">
      <c r="A2966" s="1">
        <v>5.0</v>
      </c>
      <c r="B2966" s="1" t="s">
        <v>2942</v>
      </c>
      <c r="C2966" t="str">
        <f>IFERROR(__xludf.DUMMYFUNCTION("GOOGLETRANSLATE(B2966, ""fr"", ""en"")"),"Beautiful Sequins quality of good quality, almost without perfume. I am served until then to do the laundry house. The product is perfect!")</f>
        <v>Beautiful Sequins quality of good quality, almost without perfume. I am served until then to do the laundry house. The product is perfect!</v>
      </c>
    </row>
    <row r="2967">
      <c r="A2967" s="1">
        <v>5.0</v>
      </c>
      <c r="B2967" s="1" t="s">
        <v>2943</v>
      </c>
      <c r="C2967" t="str">
        <f>IFERROR(__xludf.DUMMYFUNCTION("GOOGLETRANSLATE(B2967, ""fr"", ""en"")"),"Proceeds received for advice. Good quality product, very fine and compact. He reread my projector to my pregnant. No quality loss audible.Les connectors are gold plated for better transmission of signal.Rempli function. I recommend.")</f>
        <v>Proceeds received for advice. Good quality product, very fine and compact. He reread my projector to my pregnant. No quality loss audible.Les connectors are gold plated for better transmission of signal.Rempli function. I recommend.</v>
      </c>
    </row>
    <row r="2968">
      <c r="A2968" s="1">
        <v>5.0</v>
      </c>
      <c r="B2968" s="1" t="s">
        <v>2944</v>
      </c>
      <c r="C2968" t="str">
        <f>IFERROR(__xludf.DUMMYFUNCTION("GOOGLETRANSLATE(B2968, ""fr"", ""en"")"),"Amazing value for money - impressed I searched for hours of true free headsets (wireless). I admit I had a lot of trouble deciding seen the price differential. For most model 50 € -100 € everyone at the same point, no bass ... and these headphones have. T"&amp;"he sound is not perfect, it is not especially strong (but I can not get them mettres thoroughly anyway) but really value for money I'm really impressed. I bought the boards for sports, and I'm still surprised that it fits as well (I'm in the gym, running,"&amp;" elliptical and muscu). Yet I often have problems finding headphones that fit in my ear. The case is small and the area of ​​well hold a charge, no problem pairing. In short, I'm surprised I did not know the brand, I trusted the comment and I'm really hap"&amp;"py. I never put 5 stars because I never feel completely satisfied me, but then again considering the price I do not see how one could ask for better. Everything is nickel.")</f>
        <v>Amazing value for money - impressed I searched for hours of true free headsets (wireless). I admit I had a lot of trouble deciding seen the price differential. For most model 50 € -100 € everyone at the same point, no bass ... and these headphones have. The sound is not perfect, it is not especially strong (but I can not get them mettres thoroughly anyway) but really value for money I'm really impressed. I bought the boards for sports, and I'm still surprised that it fits as well (I'm in the gym, running, elliptical and muscu). Yet I often have problems finding headphones that fit in my ear. The case is small and the area of ​​well hold a charge, no problem pairing. In short, I'm surprised I did not know the brand, I trusted the comment and I'm really happy. I never put 5 stars because I never feel completely satisfied me, but then again considering the price I do not see how one could ask for better. Everything is nickel.</v>
      </c>
    </row>
    <row r="2969">
      <c r="A2969" s="1">
        <v>5.0</v>
      </c>
      <c r="B2969" s="1" t="s">
        <v>2945</v>
      </c>
      <c r="C2969" t="str">
        <f>IFERROR(__xludf.DUMMYFUNCTION("GOOGLETRANSLATE(B2969, ""fr"", ""en"")"),"They are very quickly he cuts very well thank you continue like this very practical light it is in size and very well")</f>
        <v>They are very quickly he cuts very well thank you continue like this very practical light it is in size and very well</v>
      </c>
    </row>
    <row r="2970">
      <c r="A2970" s="1">
        <v>5.0</v>
      </c>
      <c r="B2970" s="1" t="s">
        <v>2946</v>
      </c>
      <c r="C2970" t="str">
        <f>IFERROR(__xludf.DUMMYFUNCTION("GOOGLETRANSLATE(B2970, ""fr"", ""en"")"),"Good value Very nice book offered a 6 year old. They have quickly appropriate to seek answers to all questions ... The presentation is very entertaining for kids. It is easy to read and punctuated and games and stories which makes it even more attractive")</f>
        <v>Good value Very nice book offered a 6 year old. They have quickly appropriate to seek answers to all questions ... The presentation is very entertaining for kids. It is easy to read and punctuated and games and stories which makes it even more attractive</v>
      </c>
    </row>
    <row r="2971">
      <c r="A2971" s="1">
        <v>5.0</v>
      </c>
      <c r="B2971" s="1" t="s">
        <v>2947</v>
      </c>
      <c r="C2971" t="str">
        <f>IFERROR(__xludf.DUMMYFUNCTION("GOOGLETRANSLATE(B2971, ""fr"", ""en"")"),"It is this that I had to because this watch is exactly what I wanted. it is very convenient with all the features I need and more it is very light.")</f>
        <v>It is this that I had to because this watch is exactly what I wanted. it is very convenient with all the features I need and more it is very light.</v>
      </c>
    </row>
    <row r="2972">
      <c r="A2972" s="1">
        <v>5.0</v>
      </c>
      <c r="B2972" s="1" t="s">
        <v>2948</v>
      </c>
      <c r="C2972" t="str">
        <f>IFERROR(__xludf.DUMMYFUNCTION("GOOGLETRANSLATE(B2972, ""fr"", ""en"")"),"Comfortable and lightweight Item received quickly, consistent with the description. They are very comfortable, light and flexible. The sizes of the guide is reliable. I usually take the 41 and according to the guide I had my bearings on 42, what I ordered"&amp;", and they are nickel. To see in time how they will withstand normal use")</f>
        <v>Comfortable and lightweight Item received quickly, consistent with the description. They are very comfortable, light and flexible. The sizes of the guide is reliable. I usually take the 41 and according to the guide I had my bearings on 42, what I ordered, and they are nickel. To see in time how they will withstand normal use</v>
      </c>
    </row>
    <row r="2973">
      <c r="A2973" s="1">
        <v>5.0</v>
      </c>
      <c r="B2973" s="1" t="s">
        <v>2949</v>
      </c>
      <c r="C2973" t="str">
        <f>IFERROR(__xludf.DUMMYFUNCTION("GOOGLETRANSLATE(B2973, ""fr"", ""en"")"),"Good product great quality / price ratio")</f>
        <v>Good product great quality / price ratio</v>
      </c>
    </row>
    <row r="2974">
      <c r="A2974" s="1">
        <v>5.0</v>
      </c>
      <c r="B2974" s="1" t="s">
        <v>2950</v>
      </c>
      <c r="C2974" t="str">
        <f>IFERROR(__xludf.DUMMYFUNCTION("GOOGLETRANSLATE(B2974, ""fr"", ""en"")"),"Perfect ! This microphone is perfect for my purpose, my Youtube subscribers will thank me for their ears: D Perfectly fits my Panasonic Lumix DMC-FZ200. I just had to buy a jack adapter to go from 3.5mm to 2.5mm microphone of the camera.")</f>
        <v>Perfect ! This microphone is perfect for my purpose, my Youtube subscribers will thank me for their ears: D Perfectly fits my Panasonic Lumix DMC-FZ200. I just had to buy a jack adapter to go from 3.5mm to 2.5mm microphone of the camera.</v>
      </c>
    </row>
    <row r="2975">
      <c r="A2975" s="1">
        <v>5.0</v>
      </c>
      <c r="B2975" s="1" t="s">
        <v>2951</v>
      </c>
      <c r="C2975" t="str">
        <f>IFERROR(__xludf.DUMMYFUNCTION("GOOGLETRANSLATE(B2975, ""fr"", ""en"")"),"Pretty one. Comply with the order. Satisfied earrings. 👍")</f>
        <v>Pretty one. Comply with the order. Satisfied earrings. 👍</v>
      </c>
    </row>
    <row r="2976">
      <c r="A2976" s="1">
        <v>5.0</v>
      </c>
      <c r="B2976" s="1" t="s">
        <v>2952</v>
      </c>
      <c r="C2976" t="str">
        <f>IFERROR(__xludf.DUMMYFUNCTION("GOOGLETRANSLATE(B2976, ""fr"", ""en"")"),"My best purchase Unbelievable. This perch is of incredible quality. I could do without it now has.")</f>
        <v>My best purchase Unbelievable. This perch is of incredible quality. I could do without it now has.</v>
      </c>
    </row>
    <row r="2977">
      <c r="A2977" s="1">
        <v>5.0</v>
      </c>
      <c r="B2977" s="1" t="s">
        <v>2953</v>
      </c>
      <c r="C2977" t="str">
        <f>IFERROR(__xludf.DUMMYFUNCTION("GOOGLETRANSLATE(B2977, ""fr"", ""en"")"),"wonderful and wireless microphone speaker I bought for my wedding so that all guests can hear me. Easy to pair and use. I wish the light to be brighter, but still a good value product.")</f>
        <v>wonderful and wireless microphone speaker I bought for my wedding so that all guests can hear me. Easy to pair and use. I wish the light to be brighter, but still a good value product.</v>
      </c>
    </row>
    <row r="2978">
      <c r="A2978" s="1">
        <v>5.0</v>
      </c>
      <c r="B2978" s="1" t="s">
        <v>2954</v>
      </c>
      <c r="C2978" t="str">
        <f>IFERROR(__xludf.DUMMYFUNCTION("GOOGLETRANSLATE(B2978, ""fr"", ""en"")"),"The science within reach of all: it's magic The educational quality of English-speaking scientific literature. Many experiments to see and understand (if not to consider) the basic principles of physics, chemistry and biology. Children love because it is "&amp;"usually quite easy to achieve and the effect is often dramatic as a magic trick. From 7 years (with an adult).")</f>
        <v>The science within reach of all: it's magic The educational quality of English-speaking scientific literature. Many experiments to see and understand (if not to consider) the basic principles of physics, chemistry and biology. Children love because it is usually quite easy to achieve and the effect is often dramatic as a magic trick. From 7 years (with an adult).</v>
      </c>
    </row>
    <row r="2979">
      <c r="A2979" s="1">
        <v>5.0</v>
      </c>
      <c r="B2979" s="1" t="s">
        <v>2955</v>
      </c>
      <c r="C2979" t="str">
        <f>IFERROR(__xludf.DUMMYFUNCTION("GOOGLETRANSLATE(B2979, ""fr"", ""en"")"),"Dated Functional job, does what is expected of a nomadic sorter")</f>
        <v>Dated Functional job, does what is expected of a nomadic sorter</v>
      </c>
    </row>
    <row r="2980">
      <c r="A2980" s="1">
        <v>5.0</v>
      </c>
      <c r="B2980" s="1" t="s">
        <v>2956</v>
      </c>
      <c r="C2980" t="str">
        <f>IFERROR(__xludf.DUMMYFUNCTION("GOOGLETRANSLATE(B2980, ""fr"", ""en"")"),"Excellent product This mic is very easy to install. The quality of sound output is really more than okay. I really feel the use of professional equipment for a reduced price. Just what I needed")</f>
        <v>Excellent product This mic is very easy to install. The quality of sound output is really more than okay. I really feel the use of professional equipment for a reduced price. Just what I needed</v>
      </c>
    </row>
    <row r="2981">
      <c r="A2981" s="1">
        <v>2.0</v>
      </c>
      <c r="B2981" s="1" t="s">
        <v>2957</v>
      </c>
      <c r="C2981" t="str">
        <f>IFERROR(__xludf.DUMMYFUNCTION("GOOGLETRANSLATE(B2981, ""fr"", ""en"")"),"Too small for a 4 month old baby The collar is too small for my baby. it is barely round the neck.")</f>
        <v>Too small for a 4 month old baby The collar is too small for my baby. it is barely round the neck.</v>
      </c>
    </row>
    <row r="2982">
      <c r="A2982" s="1">
        <v>1.0</v>
      </c>
      <c r="B2982" s="1" t="s">
        <v>2958</v>
      </c>
      <c r="C2982" t="str">
        <f>IFERROR(__xludf.DUMMYFUNCTION("GOOGLETRANSLATE(B2982, ""fr"", ""en"")"),"Earphones not in the box! Received the box without blister, and nothing in it !! Intolerable. I had to go into the store to buy (absolute need for the day in question). Disappointed !!!!")</f>
        <v>Earphones not in the box! Received the box without blister, and nothing in it !! Intolerable. I had to go into the store to buy (absolute need for the day in question). Disappointed !!!!</v>
      </c>
    </row>
    <row r="2983">
      <c r="A2983" s="1">
        <v>1.0</v>
      </c>
      <c r="B2983" s="1" t="s">
        <v>2959</v>
      </c>
      <c r="C2983" t="str">
        <f>IFERROR(__xludf.DUMMYFUNCTION("GOOGLETRANSLATE(B2983, ""fr"", ""en"")"),"Attention will be fooled I have ordered this product because I was down and I could make myself indulge in the delivery day top but what a disappointment by opening my package rolls are so old that they are all black: a shame to product sales as dilapidat"&amp;"ed in the state where they are they should be discarded or donated")</f>
        <v>Attention will be fooled I have ordered this product because I was down and I could make myself indulge in the delivery day top but what a disappointment by opening my package rolls are so old that they are all black: a shame to product sales as dilapidated in the state where they are they should be discarded or donated</v>
      </c>
    </row>
    <row r="2984">
      <c r="A2984" s="1">
        <v>3.0</v>
      </c>
      <c r="B2984" s="1" t="s">
        <v>2960</v>
      </c>
      <c r="C2984" t="str">
        <f>IFERROR(__xludf.DUMMYFUNCTION("GOOGLETRANSLATE(B2984, ""fr"", ""en"")"),"Pretty nice but ... Together, fine and discreet but tarnished very quickly and very solid. Wear it on a special occasion but do not expect it to last in time, the price being what it is ... For best effect, to accompany the bracelet &amp; nbsp; &lt;a data-hook ="&amp;" ""product-link-linked"" class = ""a-link-normal"" href = ""/ Bracelet Female Hearts-Entrelacés-Crystal White / dp / B00BQGT0IU / ref = cm_cr_arp_d_rvw_txt? ie = UTF8""&gt; Bracelet Hearts Intertwined - Crystal - White &lt;/a&gt;")</f>
        <v>Pretty nice but ... Together, fine and discreet but tarnished very quickly and very solid. Wear it on a special occasion but do not expect it to last in time, the price being what it is ... For best effect, to accompany the bracelet &amp; nbsp; &lt;a data-hook = "product-link-linked" class = "a-link-normal" href = "/ Bracelet Female Hearts-Entrelacés-Crystal White / dp / B00BQGT0IU / ref = cm_cr_arp_d_rvw_txt? ie = UTF8"&gt; Bracelet Hearts Intertwined - Crystal - White &lt;/a&gt;</v>
      </c>
    </row>
    <row r="2985">
      <c r="A2985" s="1">
        <v>4.0</v>
      </c>
      <c r="B2985" s="1" t="s">
        <v>2961</v>
      </c>
      <c r="C2985" t="str">
        <f>IFERROR(__xludf.DUMMYFUNCTION("GOOGLETRANSLATE(B2985, ""fr"", ""en"")"),"A good tea kettle Tefal My twelve years, it still works but now the plastic levels on the sides crumble! I therefore with a piece of plastic and glue repaired this problem to continue to heat my water. The heat softened the same glue. Given that the brand"&amp;" does not pieces so I bought this one. Smaller and very light I found in my mailbox! First use no noise! And since the second use a very important noise which is normal for a kettle. That said lower quality than my ensures that always works. The base is c"&amp;"ontrary to my plastic watch which is all stainless steel. The top end so very fragile and tends to open itself when the water heater and there is even condensation on top. I doubt that it lasts as long as the old and like any product that was quality in t"&amp;"he past has become very moderate today. Simple and useful and cheap.")</f>
        <v>A good tea kettle Tefal My twelve years, it still works but now the plastic levels on the sides crumble! I therefore with a piece of plastic and glue repaired this problem to continue to heat my water. The heat softened the same glue. Given that the brand does not pieces so I bought this one. Smaller and very light I found in my mailbox! First use no noise! And since the second use a very important noise which is normal for a kettle. That said lower quality than my ensures that always works. The base is contrary to my plastic watch which is all stainless steel. The top end so very fragile and tends to open itself when the water heater and there is even condensation on top. I doubt that it lasts as long as the old and like any product that was quality in the past has become very moderate today. Simple and useful and cheap.</v>
      </c>
    </row>
    <row r="2986">
      <c r="A2986" s="1">
        <v>4.0</v>
      </c>
      <c r="B2986" s="1" t="s">
        <v>2962</v>
      </c>
      <c r="C2986" t="str">
        <f>IFERROR(__xludf.DUMMYFUNCTION("GOOGLETRANSLATE(B2986, ""fr"", ""en"")"),"Watch the top Very nice. Thank you much good price")</f>
        <v>Watch the top Very nice. Thank you much good price</v>
      </c>
    </row>
    <row r="2987">
      <c r="A2987" s="1">
        <v>4.0</v>
      </c>
      <c r="B2987" s="1" t="s">
        <v>2963</v>
      </c>
      <c r="C2987" t="str">
        <f>IFERROR(__xludf.DUMMYFUNCTION("GOOGLETRANSLATE(B2987, ""fr"", ""en"")"),"Product corresponding to what is asked nipples are very well accepted by my daughter! The value is good.")</f>
        <v>Product corresponding to what is asked nipples are very well accepted by my daughter! The value is good.</v>
      </c>
    </row>
    <row r="2988">
      <c r="A2988" s="1">
        <v>4.0</v>
      </c>
      <c r="B2988" s="1" t="s">
        <v>2964</v>
      </c>
      <c r="C2988" t="str">
        <f>IFERROR(__xludf.DUMMYFUNCTION("GOOGLETRANSLATE(B2988, ""fr"", ""en"")"),"Helmet This helmet of good quality is pretty good overall although the materials are not very premium 7.1 sound and microphone make this headset a great quality / price ratio. I recommend it for tight budget but looking for quality!")</f>
        <v>Helmet This helmet of good quality is pretty good overall although the materials are not very premium 7.1 sound and microphone make this headset a great quality / price ratio. I recommend it for tight budget but looking for quality!</v>
      </c>
    </row>
    <row r="2989">
      <c r="A2989" s="1">
        <v>5.0</v>
      </c>
      <c r="B2989" s="1" t="s">
        <v>2965</v>
      </c>
      <c r="C2989" t="str">
        <f>IFERROR(__xludf.DUMMYFUNCTION("GOOGLETRANSLATE(B2989, ""fr"", ""en"")"),"Fun and easy to set up Bought for my mother. She is filled. Pairing bluetooth poses no difficulties. The sound is not too bad and there are several keys to mitigate its echo. The lights are nice and help to integrate into the atmosphere.")</f>
        <v>Fun and easy to set up Bought for my mother. She is filled. Pairing bluetooth poses no difficulties. The sound is not too bad and there are several keys to mitigate its echo. The lights are nice and help to integrate into the atmosphere.</v>
      </c>
    </row>
    <row r="2990">
      <c r="A2990" s="1">
        <v>5.0</v>
      </c>
      <c r="B2990" s="1" t="s">
        <v>2966</v>
      </c>
      <c r="C2990" t="str">
        <f>IFERROR(__xludf.DUMMYFUNCTION("GOOGLETRANSLATE(B2990, ""fr"", ""en"")"),"Satchel holster Very fast delivery and product according to the description. Now it's time that will demonstrate his office about the longevity of the product.")</f>
        <v>Satchel holster Very fast delivery and product according to the description. Now it's time that will demonstrate his office about the longevity of the product.</v>
      </c>
    </row>
    <row r="2991">
      <c r="A2991" s="1">
        <v>5.0</v>
      </c>
      <c r="B2991" s="1" t="s">
        <v>2967</v>
      </c>
      <c r="C2991" t="str">
        <f>IFERROR(__xludf.DUMMYFUNCTION("GOOGLETRANSLATE(B2991, ""fr"", ""en"")"),"on top very nice, good size, works well. Good value for money.")</f>
        <v>on top very nice, good size, works well. Good value for money.</v>
      </c>
    </row>
    <row r="2992">
      <c r="A2992" s="1">
        <v>5.0</v>
      </c>
      <c r="B2992" s="1" t="s">
        <v>2968</v>
      </c>
      <c r="C2992" t="str">
        <f>IFERROR(__xludf.DUMMYFUNCTION("GOOGLETRANSLATE(B2992, ""fr"", ""en"")"),"Effective and targeted massage, several modes, a real technological gem has a low price! &lt;Div id = ""video-block-RFAW9UDYZ0MHD"" class = ""a-section-spacing-small in-spacing-top mini video-block""&gt; &lt;/ div&gt; &lt;input type = ""hidden"" name = """" value = ""ht"&amp;"tps://images-eu.ssl-images-amazon.com/images/I/B1VypTc8+NS.mp4"" class = ""video-url""&gt; &lt;input type = ""hidden"" name = """" value = "" https://images-eu.ssl-images-amazon.com/images/I/91MTa-nKROS.png ""class ="" video-slate-img-url ""&gt; &amp; nbsp; A real tre"&amp;"at! I discovered this massage device in a smaller size with a friend and I who suffer from back problems, as you say that I dreamed. I work a lot and do not really have the time to give me a massage. With this massage seat, I can combine work and relaxati"&amp;"on 😛 installed on my office chair, I'm getting my little daily session. It installs in a jiffy on any chair or armchair with a scratch elastic strap that secures the folder. A remote control that fits in his little pocket lets you choose what type of mas"&amp;"sage you want (full back, lower back, shoulders) and you can activate or not the heating mode (balls become red). Only regret not having bought before !!!")</f>
        <v>Effective and targeted massage, several modes, a real technological gem has a low price! &lt;Div id = "video-block-RFAW9UDYZ0MHD" class = "a-section-spacing-small in-spacing-top mini video-block"&gt; &lt;/ div&gt; &lt;input type = "hidden" name = "" value = "https://images-eu.ssl-images-amazon.com/images/I/B1VypTc8+NS.mp4" class = "video-url"&gt; &lt;input type = "hidden" name = "" value = " https://images-eu.ssl-images-amazon.com/images/I/91MTa-nKROS.png "class =" video-slate-img-url "&gt; &amp; nbsp; A real treat! I discovered this massage device in a smaller size with a friend and I who suffer from back problems, as you say that I dreamed. I work a lot and do not really have the time to give me a massage. With this massage seat, I can combine work and relaxation 😛 installed on my office chair, I'm getting my little daily session. It installs in a jiffy on any chair or armchair with a scratch elastic strap that secures the folder. A remote control that fits in his little pocket lets you choose what type of massage you want (full back, lower back, shoulders) and you can activate or not the heating mode (balls become red). Only regret not having bought before !!!</v>
      </c>
    </row>
    <row r="2993">
      <c r="A2993" s="1">
        <v>5.0</v>
      </c>
      <c r="B2993" s="1" t="s">
        <v>2969</v>
      </c>
      <c r="C2993" t="str">
        <f>IFERROR(__xludf.DUMMYFUNCTION("GOOGLETRANSLATE(B2993, ""fr"", ""en"")"),"QUO VADIS = True quality of the brand, I am very satisfied with my purchase - in my case, a reference for many years ......")</f>
        <v>QUO VADIS = True quality of the brand, I am very satisfied with my purchase - in my case, a reference for many years ......</v>
      </c>
    </row>
    <row r="2994">
      <c r="A2994" s="1">
        <v>5.0</v>
      </c>
      <c r="B2994" s="1" t="s">
        <v>2970</v>
      </c>
      <c r="C2994" t="str">
        <f>IFERROR(__xludf.DUMMYFUNCTION("GOOGLETRANSLATE(B2994, ""fr"", ""en"")"),"Good Very fine Soft Size Meets well")</f>
        <v>Good Very fine Soft Size Meets well</v>
      </c>
    </row>
    <row r="2995">
      <c r="A2995" s="1">
        <v>5.0</v>
      </c>
      <c r="B2995" s="1" t="s">
        <v>2971</v>
      </c>
      <c r="C2995" t="str">
        <f>IFERROR(__xludf.DUMMYFUNCTION("GOOGLETRANSLATE(B2995, ""fr"", ""en"")"),"Durable and nice product ... Perfecto ....")</f>
        <v>Durable and nice product ... Perfecto ....</v>
      </c>
    </row>
    <row r="2996">
      <c r="A2996" s="1">
        <v>5.0</v>
      </c>
      <c r="B2996" s="1" t="s">
        <v>2972</v>
      </c>
      <c r="C2996" t="str">
        <f>IFERROR(__xludf.DUMMYFUNCTION("GOOGLETRANSLATE(B2996, ""fr"", ""en"")"),"Super Article rechargeable device, that's really good, great quality, no complaints, it is well done and the materials are pleasant. Hence, feeling a lot of fun, it's not bad and different modes to vary the pleasures thank you")</f>
        <v>Super Article rechargeable device, that's really good, great quality, no complaints, it is well done and the materials are pleasant. Hence, feeling a lot of fun, it's not bad and different modes to vary the pleasures thank you</v>
      </c>
    </row>
    <row r="2997">
      <c r="A2997" s="1">
        <v>5.0</v>
      </c>
      <c r="B2997" s="1" t="s">
        <v>1288</v>
      </c>
      <c r="C2997" t="str">
        <f>IFERROR(__xludf.DUMMYFUNCTION("GOOGLETRANSLATE(B2997, ""fr"", ""en"")"),"perfect perfect")</f>
        <v>perfect perfect</v>
      </c>
    </row>
    <row r="2998">
      <c r="A2998" s="1">
        <v>5.0</v>
      </c>
      <c r="B2998" s="1" t="s">
        <v>2973</v>
      </c>
      <c r="C2998" t="str">
        <f>IFERROR(__xludf.DUMMYFUNCTION("GOOGLETRANSLATE(B2998, ""fr"", ""en"")"),"A reference !!!!! solid helmet, which holds well on the ears and insulates well enough ... watch for some like me, your ears may become hot after a while (the headset is loud enough but it is the price of good insulation ). Good cable length and I appreci"&amp;"ate the adjustability of the head. Good sound and especially made fairly neutral (pro tool recognized). It's winter, I'll highlight;). &amp; Gt; &amp; gt; Negative point ... for the summer, because it is not bad, it must be difficult to sustain over time.")</f>
        <v>A reference !!!!! solid helmet, which holds well on the ears and insulates well enough ... watch for some like me, your ears may become hot after a while (the headset is loud enough but it is the price of good insulation ). Good cable length and I appreciate the adjustability of the head. Good sound and especially made fairly neutral (pro tool recognized). It's winter, I'll highlight;). &amp; Gt; &amp; gt; Negative point ... for the summer, because it is not bad, it must be difficult to sustain over time.</v>
      </c>
    </row>
    <row r="2999">
      <c r="A2999" s="1">
        <v>5.0</v>
      </c>
      <c r="B2999" s="1" t="s">
        <v>2974</v>
      </c>
      <c r="C2999" t="str">
        <f>IFERROR(__xludf.DUMMYFUNCTION("GOOGLETRANSLATE(B2999, ""fr"", ""en"")"),"Quality product. In my eyes, these inks are always too expensive (as much as the Dior perfume without having the same charm !!!)")</f>
        <v>Quality product. In my eyes, these inks are always too expensive (as much as the Dior perfume without having the same charm !!!)</v>
      </c>
    </row>
    <row r="3000">
      <c r="A3000" s="1">
        <v>5.0</v>
      </c>
      <c r="B3000" s="1" t="s">
        <v>2975</v>
      </c>
      <c r="C3000" t="str">
        <f>IFERROR(__xludf.DUMMYFUNCTION("GOOGLETRANSLATE(B3000, ""fr"", ""en"")"),"Fully satisfied completely satisfied. An assortment of varied scent that allow to be used on spa seasons ... fresh and fruity scents for summer and perfumes strong and spicy for the winter. Very good behavior in time. And also very good value for money. I"&amp;" recommend this set!")</f>
        <v>Fully satisfied completely satisfied. An assortment of varied scent that allow to be used on spa seasons ... fresh and fruity scents for summer and perfumes strong and spicy for the winter. Very good behavior in time. And also very good value for money. I recommend this set!</v>
      </c>
    </row>
    <row r="3001">
      <c r="A3001" s="1">
        <v>5.0</v>
      </c>
      <c r="B3001" s="1" t="s">
        <v>2976</v>
      </c>
      <c r="C3001" t="str">
        <f>IFERROR(__xludf.DUMMYFUNCTION("GOOGLETRANSLATE(B3001, ""fr"", ""en"")"),"Top comfort after foot surgery, I was looking comfortable and nice shoes; they are perfect. Their insole shape memory offers unparalleled comfort. The fabric is very soft and airy and does not foot greenhouse. The chosen colors (blue gray) goes well with "&amp;"all other colors. I also doing well with pants with dresses, and make it a nice look. I just love it.")</f>
        <v>Top comfort after foot surgery, I was looking comfortable and nice shoes; they are perfect. Their insole shape memory offers unparalleled comfort. The fabric is very soft and airy and does not foot greenhouse. The chosen colors (blue gray) goes well with all other colors. I also doing well with pants with dresses, and make it a nice look. I just love it.</v>
      </c>
    </row>
    <row r="3002">
      <c r="A3002" s="1">
        <v>5.0</v>
      </c>
      <c r="B3002" s="1" t="s">
        <v>2977</v>
      </c>
      <c r="C3002" t="str">
        <f>IFERROR(__xludf.DUMMYFUNCTION("GOOGLETRANSLATE(B3002, ""fr"", ""en"")"),"Perfect Bought for my memos everyday, art, goes back very well in water")</f>
        <v>Perfect Bought for my memos everyday, art, goes back very well in water</v>
      </c>
    </row>
    <row r="3003">
      <c r="A3003" s="1">
        <v>5.0</v>
      </c>
      <c r="B3003" s="1" t="s">
        <v>2978</v>
      </c>
      <c r="C3003" t="str">
        <f>IFERROR(__xludf.DUMMYFUNCTION("GOOGLETRANSLATE(B3003, ""fr"", ""en"")"),"Compliance No screws special screws waiting for such a consumer product. It was thus in line with what was expected.")</f>
        <v>Compliance No screws special screws waiting for such a consumer product. It was thus in line with what was expected.</v>
      </c>
    </row>
    <row r="3004">
      <c r="A3004" s="1">
        <v>2.0</v>
      </c>
      <c r="B3004" s="1" t="s">
        <v>2979</v>
      </c>
      <c r="C3004" t="str">
        <f>IFERROR(__xludf.DUMMYFUNCTION("GOOGLETRANSLATE(B3004, ""fr"", ""en"")"),"not suitable not suitable for a digital recorder. I had not paid attention to the jack connector 3 blocks. delivered without adapter. otherwise runs on smartphone. too bad for me")</f>
        <v>not suitable not suitable for a digital recorder. I had not paid attention to the jack connector 3 blocks. delivered without adapter. otherwise runs on smartphone. too bad for me</v>
      </c>
    </row>
    <row r="3005">
      <c r="A3005" s="1">
        <v>1.0</v>
      </c>
      <c r="B3005" s="1" t="s">
        <v>2980</v>
      </c>
      <c r="C3005" t="str">
        <f>IFERROR(__xludf.DUMMYFUNCTION("GOOGLETRANSLATE(B3005, ""fr"", ""en"")"),"Supplier incompetent Ordering a sweet white man, receiving a daughter shirt bleu.Envoi a message to the supplier for change using the wording of the product. Result still blue shirt for girls 12 / 14yrs. Really bad as supplier")</f>
        <v>Supplier incompetent Ordering a sweet white man, receiving a daughter shirt bleu.Envoi a message to the supplier for change using the wording of the product. Result still blue shirt for girls 12 / 14yrs. Really bad as supplier</v>
      </c>
    </row>
    <row r="3006">
      <c r="A3006" s="1">
        <v>3.0</v>
      </c>
      <c r="B3006" s="1" t="s">
        <v>2981</v>
      </c>
      <c r="C3006" t="str">
        <f>IFERROR(__xludf.DUMMYFUNCTION("GOOGLETRANSLATE(B3006, ""fr"", ""en"")"),"7 8 compliant products comply with the exception of white or there is black marker # 55 mark + marks brown so white is not usable")</f>
        <v>7 8 compliant products comply with the exception of white or there is black marker # 55 mark + marks brown so white is not usable</v>
      </c>
    </row>
    <row r="3007">
      <c r="A3007" s="1">
        <v>3.0</v>
      </c>
      <c r="B3007" s="1" t="s">
        <v>2982</v>
      </c>
      <c r="C3007" t="str">
        <f>IFERROR(__xludf.DUMMYFUNCTION("GOOGLETRANSLATE(B3007, ""fr"", ""en"")"),"Small and light Good quality a priori but the bag is a bit small for my taste. Once placed my wallet, my checkbook and some papers, there remains much room. Also the zippers are quite hard: the advantage is that the open (for theft) is more difficult ...")</f>
        <v>Small and light Good quality a priori but the bag is a bit small for my taste. Once placed my wallet, my checkbook and some papers, there remains much room. Also the zippers are quite hard: the advantage is that the open (for theft) is more difficult ...</v>
      </c>
    </row>
    <row r="3008">
      <c r="A3008" s="1">
        <v>4.0</v>
      </c>
      <c r="B3008" s="1" t="s">
        <v>2983</v>
      </c>
      <c r="C3008" t="str">
        <f>IFERROR(__xludf.DUMMYFUNCTION("GOOGLETRANSLATE(B3008, ""fr"", ""en"")"),"Original cartridges This is my first purchase of this brand cartridges, remains to lifetime")</f>
        <v>Original cartridges This is my first purchase of this brand cartridges, remains to lifetime</v>
      </c>
    </row>
    <row r="3009">
      <c r="A3009" s="1">
        <v>4.0</v>
      </c>
      <c r="B3009" s="1" t="s">
        <v>2984</v>
      </c>
      <c r="C3009" t="str">
        <f>IFERROR(__xludf.DUMMYFUNCTION("GOOGLETRANSLATE(B3009, ""fr"", ""en"")"),"Ras Pleasing cheap")</f>
        <v>Ras Pleasing cheap</v>
      </c>
    </row>
    <row r="3010">
      <c r="A3010" s="1">
        <v>4.0</v>
      </c>
      <c r="B3010" s="1" t="s">
        <v>2985</v>
      </c>
      <c r="C3010" t="str">
        <f>IFERROR(__xludf.DUMMYFUNCTION("GOOGLETRANSLATE(B3010, ""fr"", ""en"")"),"RAS Complies description")</f>
        <v>RAS Complies description</v>
      </c>
    </row>
    <row r="3011">
      <c r="A3011" s="1">
        <v>4.0</v>
      </c>
      <c r="B3011" s="1" t="s">
        <v>2986</v>
      </c>
      <c r="C3011" t="str">
        <f>IFERROR(__xludf.DUMMYFUNCTION("GOOGLETRANSLATE(B3011, ""fr"", ""en"")"),"Overall satisfied Nice product, carefull, only two large sides are white (it is not clearly seen in the photo), the other two sides in brushed metal. Easy to hang, not easy to place the filters with coal, but you get there. You have to be very delicate wi"&amp;"th the buttons contacts of this kind of hood because you quickly cause a swing, a hood with remote control is more suitable.")</f>
        <v>Overall satisfied Nice product, carefull, only two large sides are white (it is not clearly seen in the photo), the other two sides in brushed metal. Easy to hang, not easy to place the filters with coal, but you get there. You have to be very delicate with the buttons contacts of this kind of hood because you quickly cause a swing, a hood with remote control is more suitable.</v>
      </c>
    </row>
    <row r="3012">
      <c r="A3012" s="1">
        <v>5.0</v>
      </c>
      <c r="B3012" s="1" t="s">
        <v>2987</v>
      </c>
      <c r="C3012" t="str">
        <f>IFERROR(__xludf.DUMMYFUNCTION("GOOGLETRANSLATE(B3012, ""fr"", ""en"")"),"Satisfied I like the color. It is convenient for traveling to slip into the diaper bag or to prepare doses at home to go faster when you have to prepare a bottle.")</f>
        <v>Satisfied I like the color. It is convenient for traveling to slip into the diaper bag or to prepare doses at home to go faster when you have to prepare a bottle.</v>
      </c>
    </row>
    <row r="3013">
      <c r="A3013" s="1">
        <v>5.0</v>
      </c>
      <c r="B3013" s="1" t="s">
        <v>2988</v>
      </c>
      <c r="C3013" t="str">
        <f>IFERROR(__xludf.DUMMYFUNCTION("GOOGLETRANSLATE(B3013, ""fr"", ""en"")"),"Top quality Nothing wrong accustomed to taking this product")</f>
        <v>Top quality Nothing wrong accustomed to taking this product</v>
      </c>
    </row>
    <row r="3014">
      <c r="A3014" s="1">
        <v>5.0</v>
      </c>
      <c r="B3014" s="1" t="s">
        <v>2989</v>
      </c>
      <c r="C3014" t="str">
        <f>IFERROR(__xludf.DUMMYFUNCTION("GOOGLETRANSLATE(B3014, ""fr"", ""en"")"),"Teat Teats The Advent are suitable for thick liquids like soups or milk thickened .... fine. This is a very good product.")</f>
        <v>Teat Teats The Advent are suitable for thick liquids like soups or milk thickened .... fine. This is a very good product.</v>
      </c>
    </row>
    <row r="3015">
      <c r="A3015" s="1">
        <v>5.0</v>
      </c>
      <c r="B3015" s="1" t="s">
        <v>2990</v>
      </c>
      <c r="C3015" t="str">
        <f>IFERROR(__xludf.DUMMYFUNCTION("GOOGLETRANSLATE(B3015, ""fr"", ""en"")"),"Following effective back pain. I buy this cushion, very easy to use. Very efficient heat diffuse and continuously.")</f>
        <v>Following effective back pain. I buy this cushion, very easy to use. Very efficient heat diffuse and continuously.</v>
      </c>
    </row>
    <row r="3016">
      <c r="A3016" s="1">
        <v>5.0</v>
      </c>
      <c r="B3016" s="1" t="s">
        <v>2991</v>
      </c>
      <c r="C3016" t="str">
        <f>IFERROR(__xludf.DUMMYFUNCTION("GOOGLETRANSLATE(B3016, ""fr"", ""en"")"),"Very satisfied! It is a small bag and that's exactly what I was looking for my son .. stack space for the purse, the natel and key .. it was not long ago that I have but I think that it is strong enough to last long! I recommend.")</f>
        <v>Very satisfied! It is a small bag and that's exactly what I was looking for my son .. stack space for the purse, the natel and key .. it was not long ago that I have but I think that it is strong enough to last long! I recommend.</v>
      </c>
    </row>
    <row r="3017">
      <c r="A3017" s="1">
        <v>5.0</v>
      </c>
      <c r="B3017" s="1" t="s">
        <v>2992</v>
      </c>
      <c r="C3017" t="str">
        <f>IFERROR(__xludf.DUMMYFUNCTION("GOOGLETRANSLATE(B3017, ""fr"", ""en"")"),"Top Shows purchased for a gift, which has had its effect. Delivery time.")</f>
        <v>Top Shows purchased for a gift, which has had its effect. Delivery time.</v>
      </c>
    </row>
    <row r="3018">
      <c r="A3018" s="1">
        <v>5.0</v>
      </c>
      <c r="B3018" s="1" t="s">
        <v>2993</v>
      </c>
      <c r="C3018" t="str">
        <f>IFERROR(__xludf.DUMMYFUNCTION("GOOGLETRANSLATE(B3018, ""fr"", ""en"")"),"Although for good quality Inkjet Paper")</f>
        <v>Although for good quality Inkjet Paper</v>
      </c>
    </row>
    <row r="3019">
      <c r="A3019" s="1">
        <v>5.0</v>
      </c>
      <c r="B3019" s="1" t="s">
        <v>2994</v>
      </c>
      <c r="C3019" t="str">
        <f>IFERROR(__xludf.DUMMYFUNCTION("GOOGLETRANSLATE(B3019, ""fr"", ""en"")"),"I expected no less Very good shirt, breathable, wicks moisture and odors, comfortable, tends to rise at the hips")</f>
        <v>I expected no less Very good shirt, breathable, wicks moisture and odors, comfortable, tends to rise at the hips</v>
      </c>
    </row>
    <row r="3020">
      <c r="A3020" s="1">
        <v>5.0</v>
      </c>
      <c r="B3020" s="1" t="s">
        <v>2995</v>
      </c>
      <c r="C3020" t="str">
        <f>IFERROR(__xludf.DUMMYFUNCTION("GOOGLETRANSLATE(B3020, ""fr"", ""en"")"),"simple and solid Watch This watch is discreet and practical classic.")</f>
        <v>simple and solid Watch This watch is discreet and practical classic.</v>
      </c>
    </row>
    <row r="3021">
      <c r="A3021" s="1">
        <v>5.0</v>
      </c>
      <c r="B3021" s="1" t="s">
        <v>2996</v>
      </c>
      <c r="C3021" t="str">
        <f>IFERROR(__xludf.DUMMYFUNCTION("GOOGLETRANSLATE(B3021, ""fr"", ""en"")"),"Efficiency casio For less than 25 euros we have a readable under direct sunlight as full dark night (total display backlight). A Discrete alarm vibration if desired (beep sound or vibration choice) it works for alarms but also for hourly beep (sig) these "&amp;"vibrations are felt and modulated (changeable) A matte black gshock look 10 years battery 100 meters sealing. What do you to complain? Shop around ... the aesthetics of the watch are clearly benefit if the 4 screws that surround the screen were black matt"&amp;"e. Chrome as they are, they sting a little eye!")</f>
        <v>Efficiency casio For less than 25 euros we have a readable under direct sunlight as full dark night (total display backlight). A Discrete alarm vibration if desired (beep sound or vibration choice) it works for alarms but also for hourly beep (sig) these vibrations are felt and modulated (changeable) A matte black gshock look 10 years battery 100 meters sealing. What do you to complain? Shop around ... the aesthetics of the watch are clearly benefit if the 4 screws that surround the screen were black matte. Chrome as they are, they sting a little eye!</v>
      </c>
    </row>
    <row r="3022">
      <c r="A3022" s="1">
        <v>5.0</v>
      </c>
      <c r="B3022" s="1" t="s">
        <v>2997</v>
      </c>
      <c r="C3022" t="str">
        <f>IFERROR(__xludf.DUMMYFUNCTION("GOOGLETRANSLATE(B3022, ""fr"", ""en"")"),"well it works well, great atmosphere for parties, I can usually invite friends to bless my house")</f>
        <v>well it works well, great atmosphere for parties, I can usually invite friends to bless my house</v>
      </c>
    </row>
    <row r="3023">
      <c r="A3023" s="1">
        <v>5.0</v>
      </c>
      <c r="B3023" s="1" t="s">
        <v>2998</v>
      </c>
      <c r="C3023" t="str">
        <f>IFERROR(__xludf.DUMMYFUNCTION("GOOGLETRANSLATE(B3023, ""fr"", ""en"")"),"A nice pajamas Hot, big, comfortable, my daughter loves pajamas. In addition, it withstands washing, the colors do not leave.")</f>
        <v>A nice pajamas Hot, big, comfortable, my daughter loves pajamas. In addition, it withstands washing, the colors do not leave.</v>
      </c>
    </row>
    <row r="3024">
      <c r="A3024" s="1">
        <v>5.0</v>
      </c>
      <c r="B3024" s="1" t="s">
        <v>2999</v>
      </c>
      <c r="C3024" t="str">
        <f>IFERROR(__xludf.DUMMYFUNCTION("GOOGLETRANSLATE(B3024, ""fr"", ""en"")"),"ball very simple eco my machine and naturally soft and fluffy")</f>
        <v>ball very simple eco my machine and naturally soft and fluffy</v>
      </c>
    </row>
    <row r="3025">
      <c r="A3025" s="1">
        <v>5.0</v>
      </c>
      <c r="B3025" s="1" t="s">
        <v>3000</v>
      </c>
      <c r="C3025" t="str">
        <f>IFERROR(__xludf.DUMMYFUNCTION("GOOGLETRANSLATE(B3025, ""fr"", ""en"")"),"Very nice Very nice and I hope that with time we will have the results. Amazon thank you for your services. Ms. Alexis")</f>
        <v>Very nice Very nice and I hope that with time we will have the results. Amazon thank you for your services. Ms. Alexis</v>
      </c>
    </row>
    <row r="3026">
      <c r="A3026" s="1">
        <v>5.0</v>
      </c>
      <c r="B3026" s="1" t="s">
        <v>3001</v>
      </c>
      <c r="C3026" t="str">
        <f>IFERROR(__xludf.DUMMYFUNCTION("GOOGLETRANSLATE(B3026, ""fr"", ""en"")"),"Super Perfect thank you")</f>
        <v>Super Perfect thank you</v>
      </c>
    </row>
    <row r="3027">
      <c r="A3027" s="1">
        <v>2.0</v>
      </c>
      <c r="B3027" s="1" t="s">
        <v>3002</v>
      </c>
      <c r="C3027" t="str">
        <f>IFERROR(__xludf.DUMMYFUNCTION("GOOGLETRANSLATE(B3027, ""fr"", ""en"")"),"Bad heated Citrine and unnatural contrary to what could suggest the photo")</f>
        <v>Bad heated Citrine and unnatural contrary to what could suggest the photo</v>
      </c>
    </row>
    <row r="3028">
      <c r="A3028" s="1">
        <v>1.0</v>
      </c>
      <c r="B3028" s="1" t="s">
        <v>3003</v>
      </c>
      <c r="C3028" t="str">
        <f>IFERROR(__xludf.DUMMYFUNCTION("GOOGLETRANSLATE(B3028, ""fr"", ""en"")"),"Disappointing Not at all suitable for the sport, no maintenance. I make a 95E with a size XL = 44 for senior and size L is too large. It yawns!")</f>
        <v>Disappointing Not at all suitable for the sport, no maintenance. I make a 95E with a size XL = 44 for senior and size L is too large. It yawns!</v>
      </c>
    </row>
    <row r="3029">
      <c r="A3029" s="1">
        <v>1.0</v>
      </c>
      <c r="B3029" s="1" t="s">
        <v>3004</v>
      </c>
      <c r="C3029" t="str">
        <f>IFERROR(__xludf.DUMMYFUNCTION("GOOGLETRANSLATE(B3029, ""fr"", ""en"")"),"Printed already empty ..... 3 photos cartridge is already indicated by the printer as ""empty"" ????")</f>
        <v>Printed already empty ..... 3 photos cartridge is already indicated by the printer as "empty" ????</v>
      </c>
    </row>
    <row r="3030">
      <c r="A3030" s="1">
        <v>3.0</v>
      </c>
      <c r="B3030" s="1" t="s">
        <v>3005</v>
      </c>
      <c r="C3030" t="str">
        <f>IFERROR(__xludf.DUMMYFUNCTION("GOOGLETRANSLATE(B3030, ""fr"", ""en"")"),"Good bags small bags strong enough to prices. Be careful though not to overdo the load. Red loops can be weakened. Besides, I do not really like these handles. Not very handicap slightly opening the bag. Moreover, these bags are not completely sealed. A l"&amp;"ittle too much liquid in your bag and it is the bottom of your trash will be stained.")</f>
        <v>Good bags small bags strong enough to prices. Be careful though not to overdo the load. Red loops can be weakened. Besides, I do not really like these handles. Not very handicap slightly opening the bag. Moreover, these bags are not completely sealed. A little too much liquid in your bag and it is the bottom of your trash will be stained.</v>
      </c>
    </row>
    <row r="3031">
      <c r="A3031" s="1">
        <v>3.0</v>
      </c>
      <c r="B3031" s="1" t="s">
        <v>3006</v>
      </c>
      <c r="C3031" t="str">
        <f>IFERROR(__xludf.DUMMYFUNCTION("GOOGLETRANSLATE(B3031, ""fr"", ""en"")"),"Speed ​​of delivery To deliver")</f>
        <v>Speed ​​of delivery To deliver</v>
      </c>
    </row>
    <row r="3032">
      <c r="A3032" s="1">
        <v>4.0</v>
      </c>
      <c r="B3032" s="1" t="s">
        <v>3007</v>
      </c>
      <c r="C3032" t="str">
        <f>IFERROR(__xludf.DUMMYFUNCTION("GOOGLETRANSLATE(B3032, ""fr"", ""en"")"),"shoes just received very quickly this pair of shoes as I saw on the website. The size is really just but this shoe is canvas should relax a little.")</f>
        <v>shoes just received very quickly this pair of shoes as I saw on the website. The size is really just but this shoe is canvas should relax a little.</v>
      </c>
    </row>
    <row r="3033">
      <c r="A3033" s="1">
        <v>4.0</v>
      </c>
      <c r="B3033" s="1" t="s">
        <v>3008</v>
      </c>
      <c r="C3033" t="str">
        <f>IFERROR(__xludf.DUMMYFUNCTION("GOOGLETRANSLATE(B3033, ""fr"", ""en"")"),"Minerva No 46 Very good product, small flat on the price, a bit expensive for a simple rule with forms. Otherwise very good, many forms of different sizes, and comes with a handy pocket not to damage it (especially for those who need to geography tray).")</f>
        <v>Minerva No 46 Very good product, small flat on the price, a bit expensive for a simple rule with forms. Otherwise very good, many forms of different sizes, and comes with a handy pocket not to damage it (especially for those who need to geography tray).</v>
      </c>
    </row>
    <row r="3034">
      <c r="A3034" s="1">
        <v>4.0</v>
      </c>
      <c r="B3034" s="1" t="s">
        <v>3009</v>
      </c>
      <c r="C3034" t="str">
        <f>IFERROR(__xludf.DUMMYFUNCTION("GOOGLETRANSLATE(B3034, ""fr"", ""en"")"),"Very comfortable Good quality, well maintained, very comfortable to wear")</f>
        <v>Very comfortable Good quality, well maintained, very comfortable to wear</v>
      </c>
    </row>
    <row r="3035">
      <c r="A3035" s="1">
        <v>4.0</v>
      </c>
      <c r="B3035" s="1" t="s">
        <v>3010</v>
      </c>
      <c r="C3035" t="str">
        <f>IFERROR(__xludf.DUMMYFUNCTION("GOOGLETRANSLATE(B3035, ""fr"", ""en"")"),"Congratulations Top Pleasant wrist.")</f>
        <v>Congratulations Top Pleasant wrist.</v>
      </c>
    </row>
    <row r="3036">
      <c r="A3036" s="1">
        <v>4.0</v>
      </c>
      <c r="B3036" s="1" t="s">
        <v>3011</v>
      </c>
      <c r="C3036" t="str">
        <f>IFERROR(__xludf.DUMMYFUNCTION("GOOGLETRANSLATE(B3036, ""fr"", ""en"")"),"printer refill the printer refill picture cannon at a very good value")</f>
        <v>printer refill the printer refill picture cannon at a very good value</v>
      </c>
    </row>
    <row r="3037">
      <c r="A3037" s="1">
        <v>5.0</v>
      </c>
      <c r="B3037" s="1" t="s">
        <v>3012</v>
      </c>
      <c r="C3037" t="str">
        <f>IFERROR(__xludf.DUMMYFUNCTION("GOOGLETRANSLATE(B3037, ""fr"", ""en"")"),"Top Super comfortable, clean look, one could really believe in street shoes. I use them regularly")</f>
        <v>Top Super comfortable, clean look, one could really believe in street shoes. I use them regularly</v>
      </c>
    </row>
    <row r="3038">
      <c r="A3038" s="1">
        <v>5.0</v>
      </c>
      <c r="B3038" s="1" t="s">
        <v>3013</v>
      </c>
      <c r="C3038" t="str">
        <f>IFERROR(__xludf.DUMMYFUNCTION("GOOGLETRANSLATE(B3038, ""fr"", ""en"")"),"Good and lasting Qualie There's not much to say about this except that it is perfect, the quality is to go, and we can make many copies with.")</f>
        <v>Good and lasting Qualie There's not much to say about this except that it is perfect, the quality is to go, and we can make many copies with.</v>
      </c>
    </row>
    <row r="3039">
      <c r="A3039" s="1">
        <v>5.0</v>
      </c>
      <c r="B3039" s="1" t="s">
        <v>3014</v>
      </c>
      <c r="C3039" t="str">
        <f>IFERROR(__xludf.DUMMYFUNCTION("GOOGLETRANSLATE(B3039, ""fr"", ""en"")"),"His impeccable very comfortable helmet with very good sound quality. The surrounding noise reduction is not bad, and the Bluetooth is easy to set up. However, he has not a very large scope: count 2 to 3 meters. The packaging is also quite friendly.")</f>
        <v>His impeccable very comfortable helmet with very good sound quality. The surrounding noise reduction is not bad, and the Bluetooth is easy to set up. However, he has not a very large scope: count 2 to 3 meters. The packaging is also quite friendly.</v>
      </c>
    </row>
    <row r="3040">
      <c r="A3040" s="1">
        <v>5.0</v>
      </c>
      <c r="B3040" s="1" t="s">
        <v>3015</v>
      </c>
      <c r="C3040" t="str">
        <f>IFERROR(__xludf.DUMMYFUNCTION("GOOGLETRANSLATE(B3040, ""fr"", ""en"")"),"Exceptional performance for a very reasonable price at this price, I doubt you'll find better for voice recording. This mic comes with anti vibration and anti pop, very good quality and a XLR cable of very good quality. The preferential use is the voice ("&amp;"studio), but I also use it for the piano, and the results are excellent. making it ideal for voice as an instrument. The residual noise is the lowest existing (5 dB !!!) and it is easy to use with a digital recorder, for example. The value for money is qu"&amp;"ite exceptional.")</f>
        <v>Exceptional performance for a very reasonable price at this price, I doubt you'll find better for voice recording. This mic comes with anti vibration and anti pop, very good quality and a XLR cable of very good quality. The preferential use is the voice (studio), but I also use it for the piano, and the results are excellent. making it ideal for voice as an instrument. The residual noise is the lowest existing (5 dB !!!) and it is easy to use with a digital recorder, for example. The value for money is quite exceptional.</v>
      </c>
    </row>
    <row r="3041">
      <c r="A3041" s="1">
        <v>5.0</v>
      </c>
      <c r="B3041" s="1" t="s">
        <v>3016</v>
      </c>
      <c r="C3041" t="str">
        <f>IFERROR(__xludf.DUMMYFUNCTION("GOOGLETRANSLATE(B3041, ""fr"", ""en"")"),"good size perfect product thank you")</f>
        <v>good size perfect product thank you</v>
      </c>
    </row>
    <row r="3042">
      <c r="A3042" s="1">
        <v>5.0</v>
      </c>
      <c r="B3042" s="1" t="s">
        <v>3017</v>
      </c>
      <c r="C3042" t="str">
        <f>IFERROR(__xludf.DUMMYFUNCTION("GOOGLETRANSLATE(B3042, ""fr"", ""en"")"),"Perfect Very good report quality price !!!")</f>
        <v>Perfect Very good report quality price !!!</v>
      </c>
    </row>
    <row r="3043">
      <c r="A3043" s="1">
        <v>5.0</v>
      </c>
      <c r="B3043" s="1" t="s">
        <v>3018</v>
      </c>
      <c r="C3043" t="str">
        <f>IFERROR(__xludf.DUMMYFUNCTION("GOOGLETRANSLATE(B3043, ""fr"", ""en"")"),"Very comfortable, clean and elegant dancing shoes purchased to go with my dresses vintage 50's, they are like in the photo received in record time and carve fine. In addition, supplied with foot pads, great. Ordered with a size above and I did well for ea"&amp;"se of movement (when the feet tend to swell dance). I recommend these shoes.")</f>
        <v>Very comfortable, clean and elegant dancing shoes purchased to go with my dresses vintage 50's, they are like in the photo received in record time and carve fine. In addition, supplied with foot pads, great. Ordered with a size above and I did well for ease of movement (when the feet tend to swell dance). I recommend these shoes.</v>
      </c>
    </row>
    <row r="3044">
      <c r="A3044" s="1">
        <v>5.0</v>
      </c>
      <c r="B3044" s="1" t="s">
        <v>3019</v>
      </c>
      <c r="C3044" t="str">
        <f>IFERROR(__xludf.DUMMYFUNCTION("GOOGLETRANSLATE(B3044, ""fr"", ""en"")"),"sustainable and good quality, easy to maintain.")</f>
        <v>sustainable and good quality, easy to maintain.</v>
      </c>
    </row>
    <row r="3045">
      <c r="A3045" s="1">
        <v>5.0</v>
      </c>
      <c r="B3045" s="1" t="s">
        <v>3020</v>
      </c>
      <c r="C3045" t="str">
        <f>IFERROR(__xludf.DUMMYFUNCTION("GOOGLETRANSLATE(B3045, ""fr"", ""en"")"),"Laces for children and adults ... I am very satisfied with my collie is raced I recommend another pair of lace from the same seller")</f>
        <v>Laces for children and adults ... I am very satisfied with my collie is raced I recommend another pair of lace from the same seller</v>
      </c>
    </row>
    <row r="3046">
      <c r="A3046" s="1">
        <v>5.0</v>
      </c>
      <c r="B3046" s="1" t="s">
        <v>3021</v>
      </c>
      <c r="C3046" t="str">
        <f>IFERROR(__xludf.DUMMYFUNCTION("GOOGLETRANSLATE(B3046, ""fr"", ""en"")"),"Efficient Living in a large house rather cold winter, I decided to buy this coverage .This mattress is very effective. Everything goes well. Good quality. Depending on the level selected heater temperature reached more or less quickly.")</f>
        <v>Efficient Living in a large house rather cold winter, I decided to buy this coverage .This mattress is very effective. Everything goes well. Good quality. Depending on the level selected heater temperature reached more or less quickly.</v>
      </c>
    </row>
    <row r="3047">
      <c r="A3047" s="1">
        <v>5.0</v>
      </c>
      <c r="B3047" s="1" t="s">
        <v>3022</v>
      </c>
      <c r="C3047" t="str">
        <f>IFERROR(__xludf.DUMMYFUNCTION("GOOGLETRANSLATE(B3047, ""fr"", ""en"")"),"Perfect perfect perfect perfect, I highly recommend.")</f>
        <v>Perfect perfect perfect perfect, I highly recommend.</v>
      </c>
    </row>
    <row r="3048">
      <c r="A3048" s="1">
        <v>5.0</v>
      </c>
      <c r="B3048" s="1" t="s">
        <v>3023</v>
      </c>
      <c r="C3048" t="str">
        <f>IFERROR(__xludf.DUMMYFUNCTION("GOOGLETRANSLATE(B3048, ""fr"", ""en"")"),"Good Very pretty good quality bag The interior pockets are large enough. My husband is delighted with the vintage style")</f>
        <v>Good Very pretty good quality bag The interior pockets are large enough. My husband is delighted with the vintage style</v>
      </c>
    </row>
    <row r="3049">
      <c r="A3049" s="1">
        <v>5.0</v>
      </c>
      <c r="B3049" s="1" t="s">
        <v>3024</v>
      </c>
      <c r="C3049" t="str">
        <f>IFERROR(__xludf.DUMMYFUNCTION("GOOGLETRANSLATE(B3049, ""fr"", ""en"")"),"The bag great bag, size, color, material, finission ... just perfect, I recommend")</f>
        <v>The bag great bag, size, color, material, finission ... just perfect, I recommend</v>
      </c>
    </row>
    <row r="3050">
      <c r="A3050" s="1">
        <v>5.0</v>
      </c>
      <c r="B3050" s="1" t="s">
        <v>3025</v>
      </c>
      <c r="C3050" t="str">
        <f>IFERROR(__xludf.DUMMYFUNCTION("GOOGLETRANSLATE(B3050, ""fr"", ""en"")"),"Fleece Jacket super happy with my purchase and was not cold wearable I advice and good quality")</f>
        <v>Fleece Jacket super happy with my purchase and was not cold wearable I advice and good quality</v>
      </c>
    </row>
    <row r="3051">
      <c r="A3051" s="1">
        <v>5.0</v>
      </c>
      <c r="B3051" s="1" t="s">
        <v>3026</v>
      </c>
      <c r="C3051" t="str">
        <f>IFERROR(__xludf.DUMMYFUNCTION("GOOGLETRANSLATE(B3051, ""fr"", ""en"")"),"Very good very good solid well made and looks serious as matériel..un bit heavy but ... but top")</f>
        <v>Very good very good solid well made and looks serious as matériel..un bit heavy but ... but top</v>
      </c>
    </row>
    <row r="3052">
      <c r="A3052" s="1">
        <v>2.0</v>
      </c>
      <c r="B3052" s="1" t="s">
        <v>3027</v>
      </c>
      <c r="C3052" t="str">
        <f>IFERROR(__xludf.DUMMYFUNCTION("GOOGLETRANSLATE(B3052, ""fr"", ""en"")"),"Not very thick Unhappy with this product I m ​​expecting a hooded sweater And the material is very very bad end")</f>
        <v>Not very thick Unhappy with this product I m ​​expecting a hooded sweater And the material is very very bad end</v>
      </c>
    </row>
    <row r="3053">
      <c r="A3053" s="1">
        <v>1.0</v>
      </c>
      <c r="B3053" s="1" t="s">
        <v>3028</v>
      </c>
      <c r="C3053" t="str">
        <f>IFERROR(__xludf.DUMMYFUNCTION("GOOGLETRANSLATE(B3053, ""fr"", ""en"")"),"No As a roofer roofer no breathing hot and humid so I recommend mushroom odor")</f>
        <v>No As a roofer roofer no breathing hot and humid so I recommend mushroom odor</v>
      </c>
    </row>
    <row r="3054">
      <c r="A3054" s="1">
        <v>1.0</v>
      </c>
      <c r="B3054" s="1" t="s">
        <v>3029</v>
      </c>
      <c r="C3054" t="str">
        <f>IFERROR(__xludf.DUMMYFUNCTION("GOOGLETRANSLATE(B3054, ""fr"", ""en"")"),"No top I've been better with another brand")</f>
        <v>No top I've been better with another brand</v>
      </c>
    </row>
    <row r="3055">
      <c r="A3055" s="1">
        <v>3.0</v>
      </c>
      <c r="B3055" s="1" t="s">
        <v>3030</v>
      </c>
      <c r="C3055" t="str">
        <f>IFERROR(__xludf.DUMMYFUNCTION("GOOGLETRANSLATE(B3055, ""fr"", ""en"")"),"Not very reassuring I am by some of the benefits of this necklace ca remains to be seen within days. And security level I am not reassured, the collar that screws so he did it off not alone.")</f>
        <v>Not very reassuring I am by some of the benefits of this necklace ca remains to be seen within days. And security level I am not reassured, the collar that screws so he did it off not alone.</v>
      </c>
    </row>
    <row r="3056">
      <c r="A3056" s="1">
        <v>3.0</v>
      </c>
      <c r="B3056" s="1" t="s">
        <v>3031</v>
      </c>
      <c r="C3056" t="str">
        <f>IFERROR(__xludf.DUMMYFUNCTION("GOOGLETRANSLATE(B3056, ""fr"", ""en"")"),"Plastic on plastic lid on the Presence couercle in contact with the water heater. Furthermore the anti limestone filter has large which is not very effective. Disappointed at first, I expect to use it to have a real opinion.")</f>
        <v>Plastic on plastic lid on the Presence couercle in contact with the water heater. Furthermore the anti limestone filter has large which is not very effective. Disappointed at first, I expect to use it to have a real opinion.</v>
      </c>
    </row>
    <row r="3057">
      <c r="A3057" s="1">
        <v>4.0</v>
      </c>
      <c r="B3057" s="1" t="s">
        <v>3032</v>
      </c>
      <c r="C3057" t="str">
        <f>IFERROR(__xludf.DUMMYFUNCTION("GOOGLETRANSLATE(B3057, ""fr"", ""en"")"),"ok in line with my expectations")</f>
        <v>ok in line with my expectations</v>
      </c>
    </row>
    <row r="3058">
      <c r="A3058" s="1">
        <v>4.0</v>
      </c>
      <c r="B3058" s="1" t="s">
        <v>3033</v>
      </c>
      <c r="C3058" t="str">
        <f>IFERROR(__xludf.DUMMYFUNCTION("GOOGLETRANSLATE(B3058, ""fr"", ""en"")"),"caps some big cups slightly larger")</f>
        <v>caps some big cups slightly larger</v>
      </c>
    </row>
    <row r="3059">
      <c r="A3059" s="1">
        <v>4.0</v>
      </c>
      <c r="B3059" s="1" t="s">
        <v>3034</v>
      </c>
      <c r="C3059" t="str">
        <f>IFERROR(__xludf.DUMMYFUNCTION("GOOGLETRANSLATE(B3059, ""fr"", ""en"")"),"Good quality Hi, Booklet with 3m tape impressions of size 12mm. Too bad they are not supplied directly 7m. Printing quality and easy to use. Nevertheless it takes 6 AAA batteries. I suggest a 9V 2A power supply otherwise it will be expensive batteries.")</f>
        <v>Good quality Hi, Booklet with 3m tape impressions of size 12mm. Too bad they are not supplied directly 7m. Printing quality and easy to use. Nevertheless it takes 6 AAA batteries. I suggest a 9V 2A power supply otherwise it will be expensive batteries.</v>
      </c>
    </row>
    <row r="3060">
      <c r="A3060" s="1">
        <v>4.0</v>
      </c>
      <c r="B3060" s="1" t="s">
        <v>3035</v>
      </c>
      <c r="C3060" t="str">
        <f>IFERROR(__xludf.DUMMYFUNCTION("GOOGLETRANSLATE(B3060, ""fr"", ""en"")"),"Practice Moche but convenient to the waterways. large size.")</f>
        <v>Practice Moche but convenient to the waterways. large size.</v>
      </c>
    </row>
    <row r="3061">
      <c r="A3061" s="1">
        <v>5.0</v>
      </c>
      <c r="B3061" s="1" t="s">
        <v>3036</v>
      </c>
      <c r="C3061" t="str">
        <f>IFERROR(__xludf.DUMMYFUNCTION("GOOGLETRANSLATE(B3061, ""fr"", ""en"")"),"Super Very nice to take xl of the I have ordered 3 happy .....")</f>
        <v>Super Very nice to take xl of the I have ordered 3 happy .....</v>
      </c>
    </row>
    <row r="3062">
      <c r="A3062" s="1">
        <v>5.0</v>
      </c>
      <c r="B3062" s="1" t="s">
        <v>3037</v>
      </c>
      <c r="C3062" t="str">
        <f>IFERROR(__xludf.DUMMYFUNCTION("GOOGLETRANSLATE(B3062, ""fr"", ""en"")"),"Quality I am 3 pairs for this model! Money nothing to say. Color: is the picture. Item arrived quickly. Size accordance with the specified size.")</f>
        <v>Quality I am 3 pairs for this model! Money nothing to say. Color: is the picture. Item arrived quickly. Size accordance with the specified size.</v>
      </c>
    </row>
    <row r="3063">
      <c r="A3063" s="1">
        <v>5.0</v>
      </c>
      <c r="B3063" s="1" t="s">
        <v>3038</v>
      </c>
      <c r="C3063" t="str">
        <f>IFERROR(__xludf.DUMMYFUNCTION("GOOGLETRANSLATE(B3063, ""fr"", ""en"")"),"Ras Cheap")</f>
        <v>Ras Cheap</v>
      </c>
    </row>
    <row r="3064">
      <c r="A3064" s="1">
        <v>5.0</v>
      </c>
      <c r="B3064" s="1" t="s">
        <v>3039</v>
      </c>
      <c r="C3064" t="str">
        <f>IFERROR(__xludf.DUMMYFUNCTION("GOOGLETRANSLATE(B3064, ""fr"", ""en"")"),"Incredible comfort After reading the reviews I took a 42.5 while I normally shoe size 43 but it turned out that it was still too big ... But with Amazon speed of 5 days after I received of 42 and perfect! I was pleasantly surprised at the comfort of these"&amp;" shoes! In the first test any pain I made in never felt so good in the shoe! The leather is of high quality must maintain the post! I love the chic style that brings it's a little English style year 20 elegant")</f>
        <v>Incredible comfort After reading the reviews I took a 42.5 while I normally shoe size 43 but it turned out that it was still too big ... But with Amazon speed of 5 days after I received of 42 and perfect! I was pleasantly surprised at the comfort of these shoes! In the first test any pain I made in never felt so good in the shoe! The leather is of high quality must maintain the post! I love the chic style that brings it's a little English style year 20 elegant</v>
      </c>
    </row>
    <row r="3065">
      <c r="A3065" s="1">
        <v>5.0</v>
      </c>
      <c r="B3065" s="1" t="s">
        <v>3040</v>
      </c>
      <c r="C3065" t="str">
        <f>IFERROR(__xludf.DUMMYFUNCTION("GOOGLETRANSLATE(B3065, ""fr"", ""en"")"),"Perfect ! I'm really count! The sound is perfect, the cell's aesthetic is very good and the price / quality ratio is excellent! Only downside for me, on my turntable Marantz TT2200, the pins were too big 'diameter) for connecting to the cells, but a littl"&amp;"e help is to clip the case!")</f>
        <v>Perfect ! I'm really count! The sound is perfect, the cell's aesthetic is very good and the price / quality ratio is excellent! Only downside for me, on my turntable Marantz TT2200, the pins were too big 'diameter) for connecting to the cells, but a little help is to clip the case!</v>
      </c>
    </row>
    <row r="3066">
      <c r="A3066" s="1">
        <v>5.0</v>
      </c>
      <c r="B3066" s="1" t="s">
        <v>3041</v>
      </c>
      <c r="C3066" t="str">
        <f>IFERROR(__xludf.DUMMYFUNCTION("GOOGLETRANSLATE(B3066, ""fr"", ""en"")"),"Earpiece black &lt;div id = ""video-block-RKCH0JQD82ATM"" class = ""a-section-spacing-small in-spacing-top mini video-block""&gt; &lt;/ div&gt; &lt;input type = ""hidden"" name = "" ""value ="" https://images-eu.ssl-images-amazon.com/images/I/917jMD9cK2S.mp4 ""class ="""&amp;" video-url ""&gt; &lt;input type ="" hidden ""name ="" ""value ="" https://images-eu.ssl-images-amazon.com/images/I/A1cdyOv2w1S.png ""class ="" video-slate-img-url ""&gt; &amp; nbsp; Headphone high quality given its price, and level of comfort earpiece has the ear I h"&amp;"ave not seen negative things my endurance doing with these headphones there and discreet enough not I find the earpiece wrong, and I really did not expect that his strong it is very simple to install, good product for me")</f>
        <v>Earpiece black &lt;div id = "video-block-RKCH0JQD82ATM" class = "a-section-spacing-small in-spacing-top mini video-block"&gt; &lt;/ div&gt; &lt;input type = "hidden" name = " "value =" https://images-eu.ssl-images-amazon.com/images/I/917jMD9cK2S.mp4 "class =" video-url "&gt; &lt;input type =" hidden "name =" "value =" https://images-eu.ssl-images-amazon.com/images/I/A1cdyOv2w1S.png "class =" video-slate-img-url "&gt; &amp; nbsp; Headphone high quality given its price, and level of comfort earpiece has the ear I have not seen negative things my endurance doing with these headphones there and discreet enough not I find the earpiece wrong, and I really did not expect that his strong it is very simple to install, good product for me</v>
      </c>
    </row>
    <row r="3067">
      <c r="A3067" s="1">
        <v>5.0</v>
      </c>
      <c r="B3067" s="1" t="s">
        <v>3042</v>
      </c>
      <c r="C3067" t="str">
        <f>IFERROR(__xludf.DUMMYFUNCTION("GOOGLETRANSLATE(B3067, ""fr"", ""en"")"),"A well designed product ... to see over time I am very! Bachelor pleasantly surprised. Arrival of the package 13 kg well packaged. This is a well designed product that makes good coffee and that changes ""capsules machines"" that are expensive consumables"&amp;", are not environmentally friendly and often drop out within two years. The worst are the machines that pay the stamp of George the clownet ;-) For this machine, generous water tank drawer to collect the used coffee, float alarm to warn of the flow tank f"&amp;"ill level (simple but good idea), pout coffee beans, set the fineness of the ground coffee, temperature, blue backlit display the best effect ... flushing self-cleaning system and integrated preheating. Accepts coffee beans or ground coffee (flexibility)."&amp;" Sound insufficient water alarms, drawer equipment full coffee, coffee beans to fill ... All the tank and drawers are easily accessible on the sides or top (coffee beans). I have no opinion on the capuchino because'm not amateur. Some disadvantages becaus"&amp;"e there are always more cumbersome than a standard coffee maker, 13 kg plastic buttons that do a little fake, front deco light that consumes electricity for nothing, switch on the back, and menu indication of the display in German or English (Damage to th"&amp;"e French but not too difficult to understand). Instructions in English / French / German ... see if it works well over time. ""Deutsche Qualität"", so should keep its promises ... To see ...")</f>
        <v>A well designed product ... to see over time I am very! Bachelor pleasantly surprised. Arrival of the package 13 kg well packaged. This is a well designed product that makes good coffee and that changes "capsules machines" that are expensive consumables, are not environmentally friendly and often drop out within two years. The worst are the machines that pay the stamp of George the clownet ;-) For this machine, generous water tank drawer to collect the used coffee, float alarm to warn of the flow tank fill level (simple but good idea), pout coffee beans, set the fineness of the ground coffee, temperature, blue backlit display the best effect ... flushing self-cleaning system and integrated preheating. Accepts coffee beans or ground coffee (flexibility). Sound insufficient water alarms, drawer equipment full coffee, coffee beans to fill ... All the tank and drawers are easily accessible on the sides or top (coffee beans). I have no opinion on the capuchino because'm not amateur. Some disadvantages because there are always more cumbersome than a standard coffee maker, 13 kg plastic buttons that do a little fake, front deco light that consumes electricity for nothing, switch on the back, and menu indication of the display in German or English (Damage to the French but not too difficult to understand). Instructions in English / French / German ... see if it works well over time. "Deutsche Qualität", so should keep its promises ... To see ...</v>
      </c>
    </row>
    <row r="3068">
      <c r="A3068" s="1">
        <v>5.0</v>
      </c>
      <c r="B3068" s="1" t="s">
        <v>3043</v>
      </c>
      <c r="C3068" t="str">
        <f>IFERROR(__xludf.DUMMYFUNCTION("GOOGLETRANSLATE(B3068, ""fr"", ""en"")"),"Concrete true basketball that takes the road, Vans really made a great success of this model especially in the sole that is very robust, I often walk and with time it is resistant. I do not regret this order and I advise buying")</f>
        <v>Concrete true basketball that takes the road, Vans really made a great success of this model especially in the sole that is very robust, I often walk and with time it is resistant. I do not regret this order and I advise buying</v>
      </c>
    </row>
    <row r="3069">
      <c r="A3069" s="1">
        <v>5.0</v>
      </c>
      <c r="B3069" s="1" t="s">
        <v>3044</v>
      </c>
      <c r="C3069" t="str">
        <f>IFERROR(__xludf.DUMMYFUNCTION("GOOGLETRANSLATE(B3069, ""fr"", ""en"")"),"Essential essential to connect the microphone with a jack 4 bronchi (TRRS) to a PC having a receiver 3 pin (TRS). Should be sold directly to me.")</f>
        <v>Essential essential to connect the microphone with a jack 4 bronchi (TRRS) to a PC having a receiver 3 pin (TRS). Should be sold directly to me.</v>
      </c>
    </row>
    <row r="3070">
      <c r="A3070" s="1">
        <v>5.0</v>
      </c>
      <c r="B3070" s="1" t="s">
        <v>3045</v>
      </c>
      <c r="C3070" t="str">
        <f>IFERROR(__xludf.DUMMYFUNCTION("GOOGLETRANSLATE(B3070, ""fr"", ""en"")"),"Watch Pretty retro retro shows, will both women (not too big) than men .... I bought it for the offer, I had already. Delighted with my purchase.")</f>
        <v>Watch Pretty retro retro shows, will both women (not too big) than men .... I bought it for the offer, I had already. Delighted with my purchase.</v>
      </c>
    </row>
    <row r="3071">
      <c r="A3071" s="1">
        <v>5.0</v>
      </c>
      <c r="B3071" s="1" t="s">
        <v>2026</v>
      </c>
      <c r="C3071" t="str">
        <f>IFERROR(__xludf.DUMMYFUNCTION("GOOGLETRANSLATE(B3071, ""fr"", ""en"")"),"Nickel Super product")</f>
        <v>Nickel Super product</v>
      </c>
    </row>
    <row r="3072">
      <c r="A3072" s="1">
        <v>5.0</v>
      </c>
      <c r="B3072" s="1" t="s">
        <v>3046</v>
      </c>
      <c r="C3072" t="str">
        <f>IFERROR(__xludf.DUMMYFUNCTION("GOOGLETRANSLATE(B3072, ""fr"", ""en"")"),"Pretty ankle bracelet item Good value")</f>
        <v>Pretty ankle bracelet item Good value</v>
      </c>
    </row>
    <row r="3073">
      <c r="A3073" s="1">
        <v>5.0</v>
      </c>
      <c r="B3073" s="1" t="s">
        <v>3047</v>
      </c>
      <c r="C3073" t="str">
        <f>IFERROR(__xludf.DUMMYFUNCTION("GOOGLETRANSLATE(B3073, ""fr"", ""en"")"),"Value for money at the top Very good value, very comfortable.")</f>
        <v>Value for money at the top Very good value, very comfortable.</v>
      </c>
    </row>
    <row r="3074">
      <c r="A3074" s="1">
        <v>5.0</v>
      </c>
      <c r="B3074" s="1" t="s">
        <v>3048</v>
      </c>
      <c r="C3074" t="str">
        <f>IFERROR(__xludf.DUMMYFUNCTION("GOOGLETRANSLATE(B3074, ""fr"", ""en"")"),"Meets the photo Meets photo")</f>
        <v>Meets the photo Meets photo</v>
      </c>
    </row>
    <row r="3075">
      <c r="A3075" s="1">
        <v>5.0</v>
      </c>
      <c r="B3075" s="1" t="s">
        <v>3049</v>
      </c>
      <c r="C3075" t="str">
        <f>IFERROR(__xludf.DUMMYFUNCTION("GOOGLETRANSLATE(B3075, ""fr"", ""en"")"),"very good product good product, good size and light for spring to come")</f>
        <v>very good product good product, good size and light for spring to come</v>
      </c>
    </row>
    <row r="3076">
      <c r="A3076" s="1">
        <v>2.0</v>
      </c>
      <c r="B3076" s="1" t="s">
        <v>3050</v>
      </c>
      <c r="C3076" t="str">
        <f>IFERROR(__xludf.DUMMYFUNCTION("GOOGLETRANSLATE(B3076, ""fr"", ""en"")"),"Necklace gold Engraving and sending ultra fast the collar is nice I chose Golden however fades very quickly. I do not recommend!")</f>
        <v>Necklace gold Engraving and sending ultra fast the collar is nice I chose Golden however fades very quickly. I do not recommend!</v>
      </c>
    </row>
    <row r="3077">
      <c r="A3077" s="1">
        <v>1.0</v>
      </c>
      <c r="B3077" s="1" t="s">
        <v>3051</v>
      </c>
      <c r="C3077" t="str">
        <f>IFERROR(__xludf.DUMMYFUNCTION("GOOGLETRANSLATE(B3077, ""fr"", ""en"")"),"Disappointed The listener does not stay in the ear and is super lightweight so I would not recommend.")</f>
        <v>Disappointed The listener does not stay in the ear and is super lightweight so I would not recommend.</v>
      </c>
    </row>
    <row r="3078">
      <c r="A3078" s="1">
        <v>1.0</v>
      </c>
      <c r="B3078" s="1" t="s">
        <v>3052</v>
      </c>
      <c r="C3078" t="str">
        <f>IFERROR(__xludf.DUMMYFUNCTION("GOOGLETRANSLATE(B3078, ""fr"", ""en"")"),"Not happy Shoes delivered on time, at the same time paying just over € 9 reverse would not surprise me given the lack of serious Vendor: I ordered a pair in the first 47 from the same seller and arrive at 46, is little good to say that to err is human, th"&amp;"erefore, return to sender and always recommends 47 and 46 in redelivered ..... but good for a change of footwear were oréoles and stains! !!! There is no longer a mistake but incompetence. Never again will I be ordering with the seller or Amazon.")</f>
        <v>Not happy Shoes delivered on time, at the same time paying just over € 9 reverse would not surprise me given the lack of serious Vendor: I ordered a pair in the first 47 from the same seller and arrive at 46, is little good to say that to err is human, therefore, return to sender and always recommends 47 and 46 in redelivered ..... but good for a change of footwear were oréoles and stains! !!! There is no longer a mistake but incompetence. Never again will I be ordering with the seller or Amazon.</v>
      </c>
    </row>
    <row r="3079">
      <c r="A3079" s="1">
        <v>3.0</v>
      </c>
      <c r="B3079" s="1" t="s">
        <v>3053</v>
      </c>
      <c r="C3079" t="str">
        <f>IFERROR(__xludf.DUMMYFUNCTION("GOOGLETRANSLATE(B3079, ""fr"", ""en"")"),"Nice and friendly ... time respected and well packaged product. The design is nice, the color line with what I expected. Its retro side is pleasant. But I blamed the 2 front pockets: they are too small to be functional. They close by conventional magnetic"&amp;" pressure and I know from experience that this system is fragile. Overall it's a nice bag and nice with a good price / quality ratio.")</f>
        <v>Nice and friendly ... time respected and well packaged product. The design is nice, the color line with what I expected. Its retro side is pleasant. But I blamed the 2 front pockets: they are too small to be functional. They close by conventional magnetic pressure and I know from experience that this system is fragile. Overall it's a nice bag and nice with a good price / quality ratio.</v>
      </c>
    </row>
    <row r="3080">
      <c r="A3080" s="1">
        <v>4.0</v>
      </c>
      <c r="B3080" s="1" t="s">
        <v>3054</v>
      </c>
      <c r="C3080" t="str">
        <f>IFERROR(__xludf.DUMMYFUNCTION("GOOGLETRANSLATE(B3080, ""fr"", ""en"")"),"Very beautiful male. Offered to my husband I was afraid she seems too small, in fact it is not very impressive on a wrist ike but good because the golden color is very flashy. Small flat screen is not anti scratch")</f>
        <v>Very beautiful male. Offered to my husband I was afraid she seems too small, in fact it is not very impressive on a wrist ike but good because the golden color is very flashy. Small flat screen is not anti scratch</v>
      </c>
    </row>
    <row r="3081">
      <c r="A3081" s="1">
        <v>4.0</v>
      </c>
      <c r="B3081" s="1" t="s">
        <v>3055</v>
      </c>
      <c r="C3081" t="str">
        <f>IFERROR(__xludf.DUMMYFUNCTION("GOOGLETRANSLATE(B3081, ""fr"", ""en"")"),"Good but ..... Not for superior chest C cup")</f>
        <v>Good but ..... Not for superior chest C cup</v>
      </c>
    </row>
    <row r="3082">
      <c r="A3082" s="1">
        <v>4.0</v>
      </c>
      <c r="B3082" s="1" t="s">
        <v>3056</v>
      </c>
      <c r="C3082" t="str">
        <f>IFERROR(__xludf.DUMMYFUNCTION("GOOGLETRANSLATE(B3082, ""fr"", ""en"")"),"Feel free Very satisfied with this purchase, which is my second elsewhere. The cartridges last long and I have not encountered any problems or hard print quality or length. I do not regret this purchase and recommend")</f>
        <v>Feel free Very satisfied with this purchase, which is my second elsewhere. The cartridges last long and I have not encountered any problems or hard print quality or length. I do not regret this purchase and recommend</v>
      </c>
    </row>
    <row r="3083">
      <c r="A3083" s="1">
        <v>4.0</v>
      </c>
      <c r="B3083" s="1" t="s">
        <v>3057</v>
      </c>
      <c r="C3083" t="str">
        <f>IFERROR(__xludf.DUMMYFUNCTION("GOOGLETRANSLATE(B3083, ""fr"", ""en"")"),"This great bra is fine .... only negative breast below is tight (2 cm longer would have to be more comfortable). So I bought a lot of 3 extensions: Bra Extensions 3 Hooks, 9,4cm x 5,6cm (found here on Amazon) .... and there, more trouble is great.")</f>
        <v>This great bra is fine .... only negative breast below is tight (2 cm longer would have to be more comfortable). So I bought a lot of 3 extensions: Bra Extensions 3 Hooks, 9,4cm x 5,6cm (found here on Amazon) .... and there, more trouble is great.</v>
      </c>
    </row>
    <row r="3084">
      <c r="A3084" s="1">
        <v>5.0</v>
      </c>
      <c r="B3084" s="1" t="s">
        <v>3058</v>
      </c>
      <c r="C3084" t="str">
        <f>IFERROR(__xludf.DUMMYFUNCTION("GOOGLETRANSLATE(B3084, ""fr"", ""en"")"),"Impeccable Meets my expectations")</f>
        <v>Impeccable Meets my expectations</v>
      </c>
    </row>
    <row r="3085">
      <c r="A3085" s="1">
        <v>5.0</v>
      </c>
      <c r="B3085" s="1" t="s">
        <v>3059</v>
      </c>
      <c r="C3085" t="str">
        <f>IFERROR(__xludf.DUMMYFUNCTION("GOOGLETRANSLATE(B3085, ""fr"", ""en"")"),"Practical and it smells good! I have cats and I disinfect these wipes cleaning! and it smells good!")</f>
        <v>Practical and it smells good! I have cats and I disinfect these wipes cleaning! and it smells good!</v>
      </c>
    </row>
    <row r="3086">
      <c r="A3086" s="1">
        <v>5.0</v>
      </c>
      <c r="B3086" s="1" t="s">
        <v>3060</v>
      </c>
      <c r="C3086" t="str">
        <f>IFERROR(__xludf.DUMMYFUNCTION("GOOGLETRANSLATE(B3086, ""fr"", ""en"")"),"beautiful colors and very fine trait Yes indeed the colors are beautiful, loyal and so many can make beautiful gradients. It is ideal for small spaces, so I would like to know if you are planning a new range means pens, and thick? Good continuation")</f>
        <v>beautiful colors and very fine trait Yes indeed the colors are beautiful, loyal and so many can make beautiful gradients. It is ideal for small spaces, so I would like to know if you are planning a new range means pens, and thick? Good continuation</v>
      </c>
    </row>
    <row r="3087">
      <c r="A3087" s="1">
        <v>5.0</v>
      </c>
      <c r="B3087" s="1" t="s">
        <v>3061</v>
      </c>
      <c r="C3087" t="str">
        <f>IFERROR(__xludf.DUMMYFUNCTION("GOOGLETRANSLATE(B3087, ""fr"", ""en"")"),"Nothing to say about occurs Okay")</f>
        <v>Nothing to say about occurs Okay</v>
      </c>
    </row>
    <row r="3088">
      <c r="A3088" s="1">
        <v>5.0</v>
      </c>
      <c r="B3088" s="1" t="s">
        <v>3062</v>
      </c>
      <c r="C3088" t="str">
        <f>IFERROR(__xludf.DUMMYFUNCTION("GOOGLETRANSLATE(B3088, ""fr"", ""en"")"),"Steam bottle warmer heater is super fast. Excellent purchase. chic color. On leaving the bug is hot but milk is at the right temperature. I use small pots to remove support for bibi.S'utilise with very little water: 10 ml.Des the water is evaporated, the "&amp;"beetle is ready.")</f>
        <v>Steam bottle warmer heater is super fast. Excellent purchase. chic color. On leaving the bug is hot but milk is at the right temperature. I use small pots to remove support for bibi.S'utilise with very little water: 10 ml.Des the water is evaporated, the beetle is ready.</v>
      </c>
    </row>
    <row r="3089">
      <c r="A3089" s="1">
        <v>5.0</v>
      </c>
      <c r="B3089" s="1" t="s">
        <v>3063</v>
      </c>
      <c r="C3089" t="str">
        <f>IFERROR(__xludf.DUMMYFUNCTION("GOOGLETRANSLATE(B3089, ""fr"", ""en"")"),"Very good value for money Excellent For DIY or mowing the lawn")</f>
        <v>Very good value for money Excellent For DIY or mowing the lawn</v>
      </c>
    </row>
    <row r="3090">
      <c r="A3090" s="1">
        <v>5.0</v>
      </c>
      <c r="B3090" s="1" t="s">
        <v>3064</v>
      </c>
      <c r="C3090" t="str">
        <f>IFERROR(__xludf.DUMMYFUNCTION("GOOGLETRANSLATE(B3090, ""fr"", ""en"")"),"Very comfortable Very nice material. Perfect size Do not fear the rain Easy to put to daily They have the strong air")</f>
        <v>Very comfortable Very nice material. Perfect size Do not fear the rain Easy to put to daily They have the strong air</v>
      </c>
    </row>
    <row r="3091">
      <c r="A3091" s="1">
        <v>5.0</v>
      </c>
      <c r="B3091" s="1" t="s">
        <v>3065</v>
      </c>
      <c r="C3091" t="str">
        <f>IFERROR(__xludf.DUMMYFUNCTION("GOOGLETRANSLATE(B3091, ""fr"", ""en"")"),"Excellent quality / price ratio, its beautiful and long battery life What to say except that Marshall has maintained the grace of their model by slightly readjusting curves, more rounded, and easing the framework that was for sure a bit too hard on their "&amp;"previous model . Autonomy is amazing, I want more than a week without worrying about recharging. For the price can not be beat!")</f>
        <v>Excellent quality / price ratio, its beautiful and long battery life What to say except that Marshall has maintained the grace of their model by slightly readjusting curves, more rounded, and easing the framework that was for sure a bit too hard on their previous model . Autonomy is amazing, I want more than a week without worrying about recharging. For the price can not be beat!</v>
      </c>
    </row>
    <row r="3092">
      <c r="A3092" s="1">
        <v>5.0</v>
      </c>
      <c r="B3092" s="1" t="s">
        <v>3066</v>
      </c>
      <c r="C3092" t="str">
        <f>IFERROR(__xludf.DUMMYFUNCTION("GOOGLETRANSLATE(B3092, ""fr"", ""en"")"),"Of Having had to return a first non-functional watch in a very déterrioré packaging and without the user manual, the second purchase, it meets my expectations.")</f>
        <v>Of Having had to return a first non-functional watch in a very déterrioré packaging and without the user manual, the second purchase, it meets my expectations.</v>
      </c>
    </row>
    <row r="3093">
      <c r="A3093" s="1">
        <v>5.0</v>
      </c>
      <c r="B3093" s="1" t="s">
        <v>3067</v>
      </c>
      <c r="C3093" t="str">
        <f>IFERROR(__xludf.DUMMYFUNCTION("GOOGLETRANSLATE(B3093, ""fr"", ""en"")"),"Super Good Product, throughput X allows you to drink more or less thick soups bottle. Moment of hug before going to sleep. Cleans well with detergent. Resistant because they are colored not easily and not feel bad after several weeks of use.")</f>
        <v>Super Good Product, throughput X allows you to drink more or less thick soups bottle. Moment of hug before going to sleep. Cleans well with detergent. Resistant because they are colored not easily and not feel bad after several weeks of use.</v>
      </c>
    </row>
    <row r="3094">
      <c r="A3094" s="1">
        <v>5.0</v>
      </c>
      <c r="B3094" s="1" t="s">
        <v>3068</v>
      </c>
      <c r="C3094" t="str">
        <f>IFERROR(__xludf.DUMMYFUNCTION("GOOGLETRANSLATE(B3094, ""fr"", ""en"")"),"I recommend I am satisfied with this jacket, well cut! And warm for the winter!")</f>
        <v>I recommend I am satisfied with this jacket, well cut! And warm for the winter!</v>
      </c>
    </row>
    <row r="3095">
      <c r="A3095" s="1">
        <v>5.0</v>
      </c>
      <c r="B3095" s="1" t="s">
        <v>3069</v>
      </c>
      <c r="C3095" t="str">
        <f>IFERROR(__xludf.DUMMYFUNCTION("GOOGLETRANSLATE(B3095, ""fr"", ""en"")"),"well worked product suitable safety shoe")</f>
        <v>well worked product suitable safety shoe</v>
      </c>
    </row>
    <row r="3096">
      <c r="A3096" s="1">
        <v>5.0</v>
      </c>
      <c r="B3096" s="1" t="s">
        <v>3070</v>
      </c>
      <c r="C3096" t="str">
        <f>IFERROR(__xludf.DUMMYFUNCTION("GOOGLETRANSLATE(B3096, ""fr"", ""en"")"),"Impec Well if you look thick socks that hold hot, this one great size, quality is to go after several washing are always in perfect condition and not moved")</f>
        <v>Impec Well if you look thick socks that hold hot, this one great size, quality is to go after several washing are always in perfect condition and not moved</v>
      </c>
    </row>
    <row r="3097">
      <c r="A3097" s="1">
        <v>5.0</v>
      </c>
      <c r="B3097" s="1" t="s">
        <v>3071</v>
      </c>
      <c r="C3097" t="str">
        <f>IFERROR(__xludf.DUMMYFUNCTION("GOOGLETRANSLATE(B3097, ""fr"", ""en"")"),"Perfect The masseur makes perfect work, my wife uses it every day for the lower back and shoulders, very happy with this purchase.")</f>
        <v>Perfect The masseur makes perfect work, my wife uses it every day for the lower back and shoulders, very happy with this purchase.</v>
      </c>
    </row>
    <row r="3098">
      <c r="A3098" s="1">
        <v>5.0</v>
      </c>
      <c r="B3098" s="1" t="s">
        <v>3072</v>
      </c>
      <c r="C3098" t="str">
        <f>IFERROR(__xludf.DUMMYFUNCTION("GOOGLETRANSLATE(B3098, ""fr"", ""en"")"),"Attention shoes feet for Attention shoes for feet Beautiful finishes. Packaged with care.")</f>
        <v>Attention shoes feet for Attention shoes for feet Beautiful finishes. Packaged with care.</v>
      </c>
    </row>
    <row r="3099">
      <c r="A3099" s="1">
        <v>5.0</v>
      </c>
      <c r="B3099" s="1" t="s">
        <v>3073</v>
      </c>
      <c r="C3099" t="str">
        <f>IFERROR(__xludf.DUMMYFUNCTION("GOOGLETRANSLATE(B3099, ""fr"", ""en"")"),"Earrings Too beautiful I love beautiful effect quickly received many thank you")</f>
        <v>Earrings Too beautiful I love beautiful effect quickly received many thank you</v>
      </c>
    </row>
    <row r="3100">
      <c r="A3100" s="1">
        <v>2.0</v>
      </c>
      <c r="B3100" s="1" t="s">
        <v>3074</v>
      </c>
      <c r="C3100" t="str">
        <f>IFERROR(__xludf.DUMMYFUNCTION("GOOGLETRANSLATE(B3100, ""fr"", ""en"")"),"Slow Water puts considerable time to heat, provide a long wait or heat some water to the pan")</f>
        <v>Slow Water puts considerable time to heat, provide a long wait or heat some water to the pan</v>
      </c>
    </row>
    <row r="3101">
      <c r="A3101" s="1">
        <v>1.0</v>
      </c>
      <c r="B3101" s="1" t="s">
        <v>3075</v>
      </c>
      <c r="C3101" t="str">
        <f>IFERROR(__xludf.DUMMYFUNCTION("GOOGLETRANSLATE(B3101, ""fr"", ""en"")"),"shoe Destroyer Item sold to renew the color of your shoes, but it's totally destroyed ... My black sneakers have gone to a black with orange highlights and big rings ... And, really easy to apply as with the foam nozzle. I'm not one to complain, but there"&amp;" very disappointed of the product and my sneakers in the trash when I just wanted to refresh the color level ...")</f>
        <v>shoe Destroyer Item sold to renew the color of your shoes, but it's totally destroyed ... My black sneakers have gone to a black with orange highlights and big rings ... And, really easy to apply as with the foam nozzle. I'm not one to complain, but there very disappointed of the product and my sneakers in the trash when I just wanted to refresh the color level ...</v>
      </c>
    </row>
    <row r="3102">
      <c r="A3102" s="1">
        <v>3.0</v>
      </c>
      <c r="B3102" s="1" t="s">
        <v>3076</v>
      </c>
      <c r="C3102" t="str">
        <f>IFERROR(__xludf.DUMMYFUNCTION("GOOGLETRANSLATE(B3102, ""fr"", ""en"")"),"Mixed super lightweight flexible properly size a real change from the traditional safety footwear. Only flat, shoe completely destroyed after 2 months of use and I do them as two hours a day to unload my truck for 1h and 1h ... load the iron hull is liter"&amp;"ally out by the sole under the shoe hole for the laces are destroyed after 3 days, every day I had a piece of the shoe that was divided into crumb especially inside. So that even good product great product at the idea, but for reliability in time it's not"&amp;" even worth it if you count the entire day wear it will last 2 weeks")</f>
        <v>Mixed super lightweight flexible properly size a real change from the traditional safety footwear. Only flat, shoe completely destroyed after 2 months of use and I do them as two hours a day to unload my truck for 1h and 1h ... load the iron hull is literally out by the sole under the shoe hole for the laces are destroyed after 3 days, every day I had a piece of the shoe that was divided into crumb especially inside. So that even good product great product at the idea, but for reliability in time it's not even worth it if you count the entire day wear it will last 2 weeks</v>
      </c>
    </row>
    <row r="3103">
      <c r="A3103" s="1">
        <v>3.0</v>
      </c>
      <c r="B3103" s="1" t="s">
        <v>3077</v>
      </c>
      <c r="C3103" t="str">
        <f>IFERROR(__xludf.DUMMYFUNCTION("GOOGLETRANSLATE(B3103, ""fr"", ""en"")"),"very nice I was satisfied with my purchase one week. I honestly expect me has a pull ring. and when I received it in a nice little box with a small cloth to clean it I find really beautiful and well done. printmaking was perfect and very pretty too. after"&amp;" a week I have a letter from the engraving that is erased so disappointed becuase its been a white line in the engraving. but good for 10 € I could not expect a product as good knowing it to be engraved. much more expensive jewelry for both the same quali"&amp;"ty.")</f>
        <v>very nice I was satisfied with my purchase one week. I honestly expect me has a pull ring. and when I received it in a nice little box with a small cloth to clean it I find really beautiful and well done. printmaking was perfect and very pretty too. after a week I have a letter from the engraving that is erased so disappointed becuase its been a white line in the engraving. but good for 10 € I could not expect a product as good knowing it to be engraved. much more expensive jewelry for both the same quality.</v>
      </c>
    </row>
    <row r="3104">
      <c r="A3104" s="1">
        <v>4.0</v>
      </c>
      <c r="B3104" s="1" t="s">
        <v>3078</v>
      </c>
      <c r="C3104" t="str">
        <f>IFERROR(__xludf.DUMMYFUNCTION("GOOGLETRANSLATE(B3104, ""fr"", ""en"")"),"Machine very handy device that meets the expectations that her request. Water temperature always correct baby. Personally my son has thickened milk, and it works very well. The only downside is that I can send the beep indicating the end of the preparatio"&amp;"n, that really resonates at night.")</f>
        <v>Machine very handy device that meets the expectations that her request. Water temperature always correct baby. Personally my son has thickened milk, and it works very well. The only downside is that I can send the beep indicating the end of the preparation, that really resonates at night.</v>
      </c>
    </row>
    <row r="3105">
      <c r="A3105" s="1">
        <v>4.0</v>
      </c>
      <c r="B3105" s="1" t="s">
        <v>3079</v>
      </c>
      <c r="C3105" t="str">
        <f>IFERROR(__xludf.DUMMYFUNCTION("GOOGLETRANSLATE(B3105, ""fr"", ""en"")"),"Super vest vest I love Super love it. At progressively washes it takes, I recommend.")</f>
        <v>Super vest vest I love Super love it. At progressively washes it takes, I recommend.</v>
      </c>
    </row>
    <row r="3106">
      <c r="A3106" s="1">
        <v>4.0</v>
      </c>
      <c r="B3106" s="1" t="s">
        <v>3080</v>
      </c>
      <c r="C3106" t="str">
        <f>IFERROR(__xludf.DUMMYFUNCTION("GOOGLETRANSLATE(B3106, ""fr"", ""en"")"),"Compliant. Satisfied. Consistent with the description. Given the terms of the product, it does not splash around like a normal brush, it's very nice. The small nozzle for washing the teats is Okay")</f>
        <v>Compliant. Satisfied. Consistent with the description. Given the terms of the product, it does not splash around like a normal brush, it's very nice. The small nozzle for washing the teats is Okay</v>
      </c>
    </row>
    <row r="3107">
      <c r="A3107" s="1">
        <v>4.0</v>
      </c>
      <c r="B3107" s="1" t="s">
        <v>3081</v>
      </c>
      <c r="C3107" t="str">
        <f>IFERROR(__xludf.DUMMYFUNCTION("GOOGLETRANSLATE(B3107, ""fr"", ""en"")"),"A good bottle! Good Manufacturing MAM brand, as usual. Teat size of my little 3 has some trouble accepting, but everything is in order by returning a size 3.")</f>
        <v>A good bottle! Good Manufacturing MAM brand, as usual. Teat size of my little 3 has some trouble accepting, but everything is in order by returning a size 3.</v>
      </c>
    </row>
    <row r="3108">
      <c r="A3108" s="1">
        <v>5.0</v>
      </c>
      <c r="B3108" s="1" t="s">
        <v>3082</v>
      </c>
      <c r="C3108" t="str">
        <f>IFERROR(__xludf.DUMMYFUNCTION("GOOGLETRANSLATE(B3108, ""fr"", ""en"")"),"What a great idea and very well illustrated book written so that children can easily understand. Great")</f>
        <v>What a great idea and very well illustrated book written so that children can easily understand. Great</v>
      </c>
    </row>
    <row r="3109">
      <c r="A3109" s="1">
        <v>5.0</v>
      </c>
      <c r="B3109" s="1" t="s">
        <v>3083</v>
      </c>
      <c r="C3109" t="str">
        <f>IFERROR(__xludf.DUMMYFUNCTION("GOOGLETRANSLATE(B3109, ""fr"", ""en"")"),"The quality I have not used yet, but at first glance, the leather is beautiful and the bag ends well. Fast shipping in 2 days")</f>
        <v>The quality I have not used yet, but at first glance, the leather is beautiful and the bag ends well. Fast shipping in 2 days</v>
      </c>
    </row>
    <row r="3110">
      <c r="A3110" s="1">
        <v>5.0</v>
      </c>
      <c r="B3110" s="1" t="s">
        <v>3084</v>
      </c>
      <c r="C3110" t="str">
        <f>IFERROR(__xludf.DUMMYFUNCTION("GOOGLETRANSLATE(B3110, ""fr"", ""en"")"),"Fitbit wristband CHARGE2 This item arrived on time + the family, and the delay of the appreciation is that I just set the good size and it fits me perfectly! Thank you !")</f>
        <v>Fitbit wristband CHARGE2 This item arrived on time + the family, and the delay of the appreciation is that I just set the good size and it fits me perfectly! Thank you !</v>
      </c>
    </row>
    <row r="3111">
      <c r="A3111" s="1">
        <v>5.0</v>
      </c>
      <c r="B3111" s="1" t="s">
        <v>3085</v>
      </c>
      <c r="C3111" t="str">
        <f>IFERROR(__xludf.DUMMYFUNCTION("GOOGLETRANSLATE(B3111, ""fr"", ""en"")"),"Very nice jewelry with Swarovski very bright He has impressed my partner who enjoyed instantly. It is easily adjustable and it really shines though. It adapts to any outfit thanks to a really nice color. The quality is there for this product.")</f>
        <v>Very nice jewelry with Swarovski very bright He has impressed my partner who enjoyed instantly. It is easily adjustable and it really shines though. It adapts to any outfit thanks to a really nice color. The quality is there for this product.</v>
      </c>
    </row>
    <row r="3112">
      <c r="A3112" s="1">
        <v>5.0</v>
      </c>
      <c r="B3112" s="1" t="s">
        <v>3086</v>
      </c>
      <c r="C3112" t="str">
        <f>IFERROR(__xludf.DUMMYFUNCTION("GOOGLETRANSLATE(B3112, ""fr"", ""en"")"),"Really nice bracelet nice bracelet, beautiful vibrant stones")</f>
        <v>Really nice bracelet nice bracelet, beautiful vibrant stones</v>
      </c>
    </row>
    <row r="3113">
      <c r="A3113" s="1">
        <v>5.0</v>
      </c>
      <c r="B3113" s="1" t="s">
        <v>3087</v>
      </c>
      <c r="C3113" t="str">
        <f>IFERROR(__xludf.DUMMYFUNCTION("GOOGLETRANSLATE(B3113, ""fr"", ""en"")"),"Kettle Kettle design installed in care firm, perfect, sober and design both")</f>
        <v>Kettle Kettle design installed in care firm, perfect, sober and design both</v>
      </c>
    </row>
    <row r="3114">
      <c r="A3114" s="1">
        <v>5.0</v>
      </c>
      <c r="B3114" s="1" t="s">
        <v>3088</v>
      </c>
      <c r="C3114" t="str">
        <f>IFERROR(__xludf.DUMMYFUNCTION("GOOGLETRANSLATE(B3114, ""fr"", ""en"")"),"Very well very well")</f>
        <v>Very well very well</v>
      </c>
    </row>
    <row r="3115">
      <c r="A3115" s="1">
        <v>5.0</v>
      </c>
      <c r="B3115" s="1" t="s">
        <v>3089</v>
      </c>
      <c r="C3115" t="str">
        <f>IFERROR(__xludf.DUMMYFUNCTION("GOOGLETRANSLATE(B3115, ""fr"", ""en"")"),"Excellent product to the right size, comfortable and warm Hello, I received my shoes last Monday and I am fully satisfied. My habits compare models, prices and reviews. I opted for this aesthetic, comfortable and warm for winter. The value for money is un"&amp;"beatable, it seems resistant, the inside is fluffy, I am ready to face the snow and cold !!")</f>
        <v>Excellent product to the right size, comfortable and warm Hello, I received my shoes last Monday and I am fully satisfied. My habits compare models, prices and reviews. I opted for this aesthetic, comfortable and warm for winter. The value for money is unbeatable, it seems resistant, the inside is fluffy, I am ready to face the snow and cold !!</v>
      </c>
    </row>
    <row r="3116">
      <c r="A3116" s="1">
        <v>5.0</v>
      </c>
      <c r="B3116" s="1" t="s">
        <v>3090</v>
      </c>
      <c r="C3116" t="str">
        <f>IFERROR(__xludf.DUMMYFUNCTION("GOOGLETRANSLATE(B3116, ""fr"", ""en"")"),"Perfect I love it are resistant")</f>
        <v>Perfect I love it are resistant</v>
      </c>
    </row>
    <row r="3117">
      <c r="A3117" s="1">
        <v>5.0</v>
      </c>
      <c r="B3117" s="1" t="s">
        <v>3091</v>
      </c>
      <c r="C3117" t="str">
        <f>IFERROR(__xludf.DUMMYFUNCTION("GOOGLETRANSLATE(B3117, ""fr"", ""en"")"),"RETAIL MEETS FOR NOW NOTHING THE PRODUCT MEETS THE DETAILS")</f>
        <v>RETAIL MEETS FOR NOW NOTHING THE PRODUCT MEETS THE DETAILS</v>
      </c>
    </row>
    <row r="3118">
      <c r="A3118" s="1">
        <v>5.0</v>
      </c>
      <c r="B3118" s="1" t="s">
        <v>3092</v>
      </c>
      <c r="C3118" t="str">
        <f>IFERROR(__xludf.DUMMYFUNCTION("GOOGLETRANSLATE(B3118, ""fr"", ""en"")"),"Too Product class really nice, very nice, he cuts a bit small but it is well cut. I recommend the shirt.")</f>
        <v>Too Product class really nice, very nice, he cuts a bit small but it is well cut. I recommend the shirt.</v>
      </c>
    </row>
    <row r="3119">
      <c r="A3119" s="1">
        <v>5.0</v>
      </c>
      <c r="B3119" s="1" t="s">
        <v>3093</v>
      </c>
      <c r="C3119" t="str">
        <f>IFERROR(__xludf.DUMMYFUNCTION("GOOGLETRANSLATE(B3119, ""fr"", ""en"")"),"Height top Top right size, I took the 38 and it nikel")</f>
        <v>Height top Top right size, I took the 38 and it nikel</v>
      </c>
    </row>
    <row r="3120">
      <c r="A3120" s="1">
        <v>5.0</v>
      </c>
      <c r="B3120" s="1" t="s">
        <v>3094</v>
      </c>
      <c r="C3120" t="str">
        <f>IFERROR(__xludf.DUMMYFUNCTION("GOOGLETRANSLATE(B3120, ""fr"", ""en"")"),"Corresponds practice my expectations, assures his brush has bireborns functions, what else to say, i hope it will last, fortunately baby will soon stop its same morning bottles")</f>
        <v>Corresponds practice my expectations, assures his brush has bireborns functions, what else to say, i hope it will last, fortunately baby will soon stop its same morning bottles</v>
      </c>
    </row>
    <row r="3121">
      <c r="A3121" s="1">
        <v>5.0</v>
      </c>
      <c r="B3121" s="1" t="s">
        <v>3095</v>
      </c>
      <c r="C3121" t="str">
        <f>IFERROR(__xludf.DUMMYFUNCTION("GOOGLETRANSLATE(B3121, ""fr"", ""en"")"),"Good product for the price I have tried this in my work where I walk a lot and nothing to say they are light to wear nice")</f>
        <v>Good product for the price I have tried this in my work where I walk a lot and nothing to say they are light to wear nice</v>
      </c>
    </row>
    <row r="3122">
      <c r="A3122" s="1">
        <v>5.0</v>
      </c>
      <c r="B3122" s="1" t="s">
        <v>3096</v>
      </c>
      <c r="C3122" t="str">
        <f>IFERROR(__xludf.DUMMYFUNCTION("GOOGLETRANSLATE(B3122, ""fr"", ""en"")"),"Ras Very comfortable and lightweight. I feel great after my 12 hours of work. My only regret is that they tend to get dirty quickly but many compliments me on my shoes 🙂")</f>
        <v>Ras Very comfortable and lightweight. I feel great after my 12 hours of work. My only regret is that they tend to get dirty quickly but many compliments me on my shoes 🙂</v>
      </c>
    </row>
    <row r="3123">
      <c r="A3123" s="1">
        <v>2.0</v>
      </c>
      <c r="B3123" s="1" t="s">
        <v>3097</v>
      </c>
      <c r="C3123" t="str">
        <f>IFERROR(__xludf.DUMMYFUNCTION("GOOGLETRANSLATE(B3123, ""fr"", ""en"")"),"Unpleasant to wear The size (length) is correct but cons, they are too wide and tall inside. So the foot is badly kept and it causes friction, which makes them unpleasant to wear. I forced myself to wear them for a week and a half to relax and get to my f"&amp;"eet, and it does not change much, I still hurt inside. Soon to be the winter with a large pair of socks and an extra insole, it could do it but I do not really believe. Other problems: they are very slippery in the wet and they absorb any shock is live in"&amp;" the joints. To be considered a pair of shoes Troubleshooting security, not more.")</f>
        <v>Unpleasant to wear The size (length) is correct but cons, they are too wide and tall inside. So the foot is badly kept and it causes friction, which makes them unpleasant to wear. I forced myself to wear them for a week and a half to relax and get to my feet, and it does not change much, I still hurt inside. Soon to be the winter with a large pair of socks and an extra insole, it could do it but I do not really believe. Other problems: they are very slippery in the wet and they absorb any shock is live in the joints. To be considered a pair of shoes Troubleshooting security, not more.</v>
      </c>
    </row>
    <row r="3124">
      <c r="A3124" s="1">
        <v>1.0</v>
      </c>
      <c r="B3124" s="1" t="s">
        <v>3098</v>
      </c>
      <c r="C3124" t="str">
        <f>IFERROR(__xludf.DUMMYFUNCTION("GOOGLETRANSLATE(B3124, ""fr"", ""en"")"),"damage water smells plastic This is unfortunate because the product looks perfect by electronic level against a big problem and size and water bouloire feel plastic. The interior of the bouloire is packed with plastic and rubber. I return the product pron"&amp;"to.")</f>
        <v>damage water smells plastic This is unfortunate because the product looks perfect by electronic level against a big problem and size and water bouloire feel plastic. The interior of the bouloire is packed with plastic and rubber. I return the product pronto.</v>
      </c>
    </row>
    <row r="3125">
      <c r="A3125" s="1">
        <v>1.0</v>
      </c>
      <c r="B3125" s="1" t="s">
        <v>3099</v>
      </c>
      <c r="C3125" t="str">
        <f>IFERROR(__xludf.DUMMYFUNCTION("GOOGLETRANSLATE(B3125, ""fr"", ""en"")"),"Material black shirt nike The materials and absolutely degeulasse and nike and larger than the t-shirt I do not like I will not advise")</f>
        <v>Material black shirt nike The materials and absolutely degeulasse and nike and larger than the t-shirt I do not like I will not advise</v>
      </c>
    </row>
    <row r="3126">
      <c r="A3126" s="1">
        <v>3.0</v>
      </c>
      <c r="B3126" s="1" t="s">
        <v>3100</v>
      </c>
      <c r="C3126" t="str">
        <f>IFERROR(__xludf.DUMMYFUNCTION("GOOGLETRANSLATE(B3126, ""fr"", ""en"")"),"panties panty fillet too small girl for those big ass like me (size 44) which is a shame")</f>
        <v>panties panty fillet too small girl for those big ass like me (size 44) which is a shame</v>
      </c>
    </row>
    <row r="3127">
      <c r="A3127" s="1">
        <v>3.0</v>
      </c>
      <c r="B3127" s="1" t="s">
        <v>3101</v>
      </c>
      <c r="C3127" t="str">
        <f>IFERROR(__xludf.DUMMYFUNCTION("GOOGLETRANSLATE(B3127, ""fr"", ""en"")"),"Opinion mixed on the effectiveness Purchased for maintaining timberland offered to the girl at Christmas I'm mixed on the effectiveness ... I think this brush leaves traces on the nubuck and more it gets dirty very quickly. I rather invest in a waterproof"&amp;"ing spray and anti task")</f>
        <v>Opinion mixed on the effectiveness Purchased for maintaining timberland offered to the girl at Christmas I'm mixed on the effectiveness ... I think this brush leaves traces on the nubuck and more it gets dirty very quickly. I rather invest in a waterproofing spray and anti task</v>
      </c>
    </row>
    <row r="3128">
      <c r="A3128" s="1">
        <v>4.0</v>
      </c>
      <c r="B3128" s="1" t="s">
        <v>3102</v>
      </c>
      <c r="C3128" t="str">
        <f>IFERROR(__xludf.DUMMYFUNCTION("GOOGLETRANSLATE(B3128, ""fr"", ""en"")"),"Good but Bose headphones are pretty good knowing that I had before the AirPods that are less impressive, I have many doubts before taking Bose but it holds up well to the ear, autonomy is rather well however during a single telephone call from side works "&amp;"which is not great and I feel that the microphone is not often positioned interlocutors no one hears me.")</f>
        <v>Good but Bose headphones are pretty good knowing that I had before the AirPods that are less impressive, I have many doubts before taking Bose but it holds up well to the ear, autonomy is rather well however during a single telephone call from side works which is not great and I feel that the microphone is not often positioned interlocutors no one hears me.</v>
      </c>
    </row>
    <row r="3129">
      <c r="A3129" s="1">
        <v>4.0</v>
      </c>
      <c r="B3129" s="1" t="s">
        <v>3103</v>
      </c>
      <c r="C3129" t="str">
        <f>IFERROR(__xludf.DUMMYFUNCTION("GOOGLETRANSLATE(B3129, ""fr"", ""en"")"),"perfect ! nothing to say quality level and sound reproduction! I'm delighted ... a little less comfort level ... Me with my glasses, I find myself a little too green head ... but it is so new to see! but very happy anyway! I recommend !")</f>
        <v>perfect ! nothing to say quality level and sound reproduction! I'm delighted ... a little less comfort level ... Me with my glasses, I find myself a little too green head ... but it is so new to see! but very happy anyway! I recommend !</v>
      </c>
    </row>
    <row r="3130">
      <c r="A3130" s="1">
        <v>4.0</v>
      </c>
      <c r="B3130" s="1" t="s">
        <v>3104</v>
      </c>
      <c r="C3130" t="str">
        <f>IFERROR(__xludf.DUMMYFUNCTION("GOOGLETRANSLATE(B3130, ""fr"", ""en"")"),"Good quality / price for this bag leather leather resistant product value for money, design better and with more storage and ergonomics")</f>
        <v>Good quality / price for this bag leather leather resistant product value for money, design better and with more storage and ergonomics</v>
      </c>
    </row>
    <row r="3131">
      <c r="A3131" s="1">
        <v>4.0</v>
      </c>
      <c r="B3131" s="1" t="s">
        <v>3105</v>
      </c>
      <c r="C3131" t="str">
        <f>IFERROR(__xludf.DUMMYFUNCTION("GOOGLETRANSLATE(B3131, ""fr"", ""en"")"),"Good but ... lightweight bottle, cute, for against the cap is hard to open with one hand, I find that it can be unscrewed easily, I get lost in sizes 5 million teats (very slow speed, slow, fast etc. ...), and I do not like n the form level grip .... Anyw"&amp;"ay my son loves these pacifiers so c is the main negative point ... last teats only go on the same bottle Mark !!!")</f>
        <v>Good but ... lightweight bottle, cute, for against the cap is hard to open with one hand, I find that it can be unscrewed easily, I get lost in sizes 5 million teats (very slow speed, slow, fast etc. ...), and I do not like n the form level grip .... Anyway my son loves these pacifiers so c is the main negative point ... last teats only go on the same bottle Mark !!!</v>
      </c>
    </row>
    <row r="3132">
      <c r="A3132" s="1">
        <v>5.0</v>
      </c>
      <c r="B3132" s="1" t="s">
        <v>3106</v>
      </c>
      <c r="C3132" t="str">
        <f>IFERROR(__xludf.DUMMYFUNCTION("GOOGLETRANSLATE(B3132, ""fr"", ""en"")"),"Super convenient for Super outputs! I bought it for the holidays. I use it all the time !!! Before leaving on a trip or at the beach, I boil water (I invested € 5 in a small electric kettle) and I filled the bottle. And off when I want to heat the baby bo"&amp;"ttle that does not like to drink it at room temperature it takes 2min30 lap. Once I put hot water in the bottle and I can warm up with a second bottle later. By cons there it is a little longer because the water was a little cold. But frankly, I recommend"&amp;"!")</f>
        <v>Super convenient for Super outputs! I bought it for the holidays. I use it all the time !!! Before leaving on a trip or at the beach, I boil water (I invested € 5 in a small electric kettle) and I filled the bottle. And off when I want to heat the baby bottle that does not like to drink it at room temperature it takes 2min30 lap. Once I put hot water in the bottle and I can warm up with a second bottle later. By cons there it is a little longer because the water was a little cold. But frankly, I recommend!</v>
      </c>
    </row>
    <row r="3133">
      <c r="A3133" s="1">
        <v>5.0</v>
      </c>
      <c r="B3133" s="1" t="s">
        <v>3107</v>
      </c>
      <c r="C3133" t="str">
        <f>IFERROR(__xludf.DUMMYFUNCTION("GOOGLETRANSLATE(B3133, ""fr"", ""en"")"),"Good clock radio Pleasantly surprised by this little clock radio that does more than what I expected. Its compact size allows it to find its place on the night table without a problem, and time display is configurable. if you do not want to be disturbed a"&amp;"t night by a halo of light, you can reduce the ""brightness of the time display or cut completely. Indeed it is not a Hi Fi, but the sound is OK. The use is simple and can set two waking hours and the on / off simply (by dedicated buttons) is very nice. i"&amp;"mportantly, I was looking for a light alarm clock that does not begin to do the day in the room half . hour before my alarm time this one allows me to start the light alarm clock 10 minutes before my alarm clock, which corresponds to my expectations at a "&amp;"glance:. good price / quality and pleasant surprise")</f>
        <v>Good clock radio Pleasantly surprised by this little clock radio that does more than what I expected. Its compact size allows it to find its place on the night table without a problem, and time display is configurable. if you do not want to be disturbed at night by a halo of light, you can reduce the "brightness of the time display or cut completely. Indeed it is not a Hi Fi, but the sound is OK. The use is simple and can set two waking hours and the on / off simply (by dedicated buttons) is very nice. importantly, I was looking for a light alarm clock that does not begin to do the day in the room half . hour before my alarm time this one allows me to start the light alarm clock 10 minutes before my alarm clock, which corresponds to my expectations at a glance:. good price / quality and pleasant surprise</v>
      </c>
    </row>
    <row r="3134">
      <c r="A3134" s="1">
        <v>5.0</v>
      </c>
      <c r="B3134" s="1" t="s">
        <v>3108</v>
      </c>
      <c r="C3134" t="str">
        <f>IFERROR(__xludf.DUMMYFUNCTION("GOOGLETRANSLATE(B3134, ""fr"", ""en"")"),"Beautiful bracelet Beautiful bracelet genuine rock I will leave more received in a velvet pouch!")</f>
        <v>Beautiful bracelet Beautiful bracelet genuine rock I will leave more received in a velvet pouch!</v>
      </c>
    </row>
    <row r="3135">
      <c r="A3135" s="1">
        <v>5.0</v>
      </c>
      <c r="B3135" s="1" t="s">
        <v>3109</v>
      </c>
      <c r="C3135" t="str">
        <f>IFERROR(__xludf.DUMMYFUNCTION("GOOGLETRANSLATE(B3135, ""fr"", ""en"")"),"SKELETON WATCH +: + COMPETITIVE PRICE: BEL EFFECT")</f>
        <v>SKELETON WATCH +: + COMPETITIVE PRICE: BEL EFFECT</v>
      </c>
    </row>
    <row r="3136">
      <c r="A3136" s="1">
        <v>5.0</v>
      </c>
      <c r="B3136" s="1" t="s">
        <v>3110</v>
      </c>
      <c r="C3136" t="str">
        <f>IFERROR(__xludf.DUMMYFUNCTION("GOOGLETRANSLATE(B3136, ""fr"", ""en"")"),"Simple, flexible, robust and economical The heat-sealed connectors are plugged trusted and perfectly taken in, the cable is flexible without fear fold, all is simple and perfectly functional.")</f>
        <v>Simple, flexible, robust and economical The heat-sealed connectors are plugged trusted and perfectly taken in, the cable is flexible without fear fold, all is simple and perfectly functional.</v>
      </c>
    </row>
    <row r="3137">
      <c r="A3137" s="1">
        <v>5.0</v>
      </c>
      <c r="B3137" s="1" t="s">
        <v>3111</v>
      </c>
      <c r="C3137" t="str">
        <f>IFERROR(__xludf.DUMMYFUNCTION("GOOGLETRANSLATE(B3137, ""fr"", ""en"")"),"Do not hesitate !! I have it bought to offer, there is a small bag that has very good around. The bracelet is beautiful, like the pictures .... perfect !!")</f>
        <v>Do not hesitate !! I have it bought to offer, there is a small bag that has very good around. The bracelet is beautiful, like the pictures .... perfect !!</v>
      </c>
    </row>
    <row r="3138">
      <c r="A3138" s="1">
        <v>5.0</v>
      </c>
      <c r="B3138" s="1" t="s">
        <v>3112</v>
      </c>
      <c r="C3138" t="str">
        <f>IFERROR(__xludf.DUMMYFUNCTION("GOOGLETRANSLATE(B3138, ""fr"", ""en"")"),"Perfect suited to mark MAM pacifiers Corresponds to the description perfectly adapted to my strong brand MAM pacifiers and flexible I am very satisfied Thank you")</f>
        <v>Perfect suited to mark MAM pacifiers Corresponds to the description perfectly adapted to my strong brand MAM pacifiers and flexible I am very satisfied Thank you</v>
      </c>
    </row>
    <row r="3139">
      <c r="A3139" s="1">
        <v>5.0</v>
      </c>
      <c r="B3139" s="1" t="s">
        <v>3113</v>
      </c>
      <c r="C3139" t="str">
        <f>IFERROR(__xludf.DUMMYFUNCTION("GOOGLETRANSLATE(B3139, ""fr"", ""en"")"),"Good quality What I like is that it's shoes for people who have wide feet and is comfortable")</f>
        <v>Good quality What I like is that it's shoes for people who have wide feet and is comfortable</v>
      </c>
    </row>
    <row r="3140">
      <c r="A3140" s="1">
        <v>5.0</v>
      </c>
      <c r="B3140" s="1" t="s">
        <v>3114</v>
      </c>
      <c r="C3140" t="str">
        <f>IFERROR(__xludf.DUMMYFUNCTION("GOOGLETRANSLATE(B3140, ""fr"", ""en"")"),"exceptional quality these boots are indestructible leather is excellent quality and they are totally waterproof and very comfortable once made to walk essential for riding or just a rural use")</f>
        <v>exceptional quality these boots are indestructible leather is excellent quality and they are totally waterproof and very comfortable once made to walk essential for riding or just a rural use</v>
      </c>
    </row>
    <row r="3141">
      <c r="A3141" s="1">
        <v>5.0</v>
      </c>
      <c r="B3141" s="1" t="s">
        <v>3115</v>
      </c>
      <c r="C3141" t="str">
        <f>IFERROR(__xludf.DUMMYFUNCTION("GOOGLETRANSLATE(B3141, ""fr"", ""en"")"),"Just perfect! Pair controlled by the pre-teen, size 36 to a size 36. No problem. A nice straw (not beige) that goes with everything.")</f>
        <v>Just perfect! Pair controlled by the pre-teen, size 36 to a size 36. No problem. A nice straw (not beige) that goes with everything.</v>
      </c>
    </row>
    <row r="3142">
      <c r="A3142" s="1">
        <v>5.0</v>
      </c>
      <c r="B3142" s="1" t="s">
        <v>3116</v>
      </c>
      <c r="C3142" t="str">
        <f>IFERROR(__xludf.DUMMYFUNCTION("GOOGLETRANSLATE(B3142, ""fr"", ""en"")"),"Teat MAM This is perfect for the relay, suckled, pacifier, baby accepts very well, as if it were true! I recommend this product.")</f>
        <v>Teat MAM This is perfect for the relay, suckled, pacifier, baby accepts very well, as if it were true! I recommend this product.</v>
      </c>
    </row>
    <row r="3143">
      <c r="A3143" s="1">
        <v>5.0</v>
      </c>
      <c r="B3143" s="1" t="s">
        <v>3117</v>
      </c>
      <c r="C3143" t="str">
        <f>IFERROR(__xludf.DUMMYFUNCTION("GOOGLETRANSLATE(B3143, ""fr"", ""en"")"),"PRETTY AND PRACTICE Here is a lamp that combines design and functional. This is the second lamp of the model I bought for the rooms of my grandchildren who appreciate the three intensities of white light, adjustable colors of the base and also the flexibl"&amp;"e rod and therefore adjustable for use as desire for reading ... Very happy with my purchase. I recommend this product without hesitation.")</f>
        <v>PRETTY AND PRACTICE Here is a lamp that combines design and functional. This is the second lamp of the model I bought for the rooms of my grandchildren who appreciate the three intensities of white light, adjustable colors of the base and also the flexible rod and therefore adjustable for use as desire for reading ... Very happy with my purchase. I recommend this product without hesitation.</v>
      </c>
    </row>
    <row r="3144">
      <c r="A3144" s="1">
        <v>5.0</v>
      </c>
      <c r="B3144" s="1" t="s">
        <v>3118</v>
      </c>
      <c r="C3144" t="str">
        <f>IFERROR(__xludf.DUMMYFUNCTION("GOOGLETRANSLATE(B3144, ""fr"", ""en"")"),"safety shoe shoes I use every day super light and very comfortable days I recommend this product")</f>
        <v>safety shoe shoes I use every day super light and very comfortable days I recommend this product</v>
      </c>
    </row>
    <row r="3145">
      <c r="A3145" s="1">
        <v>5.0</v>
      </c>
      <c r="B3145" s="1" t="s">
        <v>3119</v>
      </c>
      <c r="C3145" t="str">
        <f>IFERROR(__xludf.DUMMYFUNCTION("GOOGLETRANSLATE(B3145, ""fr"", ""en"")"),"very good headset Bought for my son (who has chosen himself the helmet). The sound is super good, the bass is well restored and the treble again, the Bluetooth connection is very good, good autonomy. My 19 year old son was thrilled ..!")</f>
        <v>very good headset Bought for my son (who has chosen himself the helmet). The sound is super good, the bass is well restored and the treble again, the Bluetooth connection is very good, good autonomy. My 19 year old son was thrilled ..!</v>
      </c>
    </row>
    <row r="3146">
      <c r="A3146" s="1">
        <v>5.0</v>
      </c>
      <c r="B3146" s="1" t="s">
        <v>3120</v>
      </c>
      <c r="C3146" t="str">
        <f>IFERROR(__xludf.DUMMYFUNCTION("GOOGLETRANSLATE(B3146, ""fr"", ""en"")"),"Good value Matos received hyper Rapidos ... thank you amazon personally I already owned one and here is a second son for using it on vdrum")</f>
        <v>Good value Matos received hyper Rapidos ... thank you amazon personally I already owned one and here is a second son for using it on vdrum</v>
      </c>
    </row>
    <row r="3147">
      <c r="A3147" s="1">
        <v>2.0</v>
      </c>
      <c r="B3147" s="1" t="s">
        <v>3121</v>
      </c>
      <c r="C3147" t="str">
        <f>IFERROR(__xludf.DUMMYFUNCTION("GOOGLETRANSLATE(B3147, ""fr"", ""en"")"),"good comment")</f>
        <v>good comment</v>
      </c>
    </row>
    <row r="3148">
      <c r="A3148" s="1">
        <v>1.0</v>
      </c>
      <c r="B3148" s="1" t="s">
        <v>3122</v>
      </c>
      <c r="C3148" t="str">
        <f>IFERROR(__xludf.DUMMYFUNCTION("GOOGLETRANSLATE(B3148, ""fr"", ""en"")"),"Missing Parts hello, missing le'adaptateur sound card and the fixed table to the arm in the package. Do I have to return the package?")</f>
        <v>Missing Parts hello, missing le'adaptateur sound card and the fixed table to the arm in the package. Do I have to return the package?</v>
      </c>
    </row>
    <row r="3149">
      <c r="A3149" s="1">
        <v>1.0</v>
      </c>
      <c r="B3149" s="1" t="s">
        <v>3123</v>
      </c>
      <c r="C3149" t="str">
        <f>IFERROR(__xludf.DUMMYFUNCTION("GOOGLETRANSLATE(B3149, ""fr"", ""en"")"),"non confome very small ring, limit for a child. rhinestone, nothing to do with the photo. money and dubious settings. I'm hyper decue with my purchase and would not recommend.")</f>
        <v>non confome very small ring, limit for a child. rhinestone, nothing to do with the photo. money and dubious settings. I'm hyper decue with my purchase and would not recommend.</v>
      </c>
    </row>
    <row r="3150">
      <c r="A3150" s="1">
        <v>3.0</v>
      </c>
      <c r="B3150" s="1" t="s">
        <v>3124</v>
      </c>
      <c r="C3150" t="str">
        <f>IFERROR(__xludf.DUMMYFUNCTION("GOOGLETRANSLATE(B3150, ""fr"", ""en"")"),"not the same length? Good product. Of the 2 cables of 1 meter. The length is not the same? ??. The 2m cable ok")</f>
        <v>not the same length? Good product. Of the 2 cables of 1 meter. The length is not the same? ??. The 2m cable ok</v>
      </c>
    </row>
    <row r="3151">
      <c r="A3151" s="1">
        <v>4.0</v>
      </c>
      <c r="B3151" s="1" t="s">
        <v>3125</v>
      </c>
      <c r="C3151" t="str">
        <f>IFERROR(__xludf.DUMMYFUNCTION("GOOGLETRANSLATE(B3151, ""fr"", ""en"")"),"First of all, whether the product is as effective as the Canon cartridges This is the first time I use your cartridges ... I can not really judge the time because I use them once a week bridge club but regarding the printing quality is just like with my o"&amp;"ld Canon cartridges ... .And PRICE iS qUITE DIFFERENT So for me, for the moment it's very positive when I go have to change those of the house and there I use mostly the printer I will take your cartridges and so I can better judge")</f>
        <v>First of all, whether the product is as effective as the Canon cartridges This is the first time I use your cartridges ... I can not really judge the time because I use them once a week bridge club but regarding the printing quality is just like with my old Canon cartridges ... .And PRICE iS qUITE DIFFERENT So for me, for the moment it's very positive when I go have to change those of the house and there I use mostly the printer I will take your cartridges and so I can better judge</v>
      </c>
    </row>
    <row r="3152">
      <c r="A3152" s="1">
        <v>4.0</v>
      </c>
      <c r="B3152" s="1" t="s">
        <v>3126</v>
      </c>
      <c r="C3152" t="str">
        <f>IFERROR(__xludf.DUMMYFUNCTION("GOOGLETRANSLATE(B3152, ""fr"", ""en"")"),"Good headphones Good headphones and easy to install on such good quality and good recharge with a very good sound. The percentage be well on the box that contains a pouch to protect it from external shocks. A cable alternative to the earphone nozzle are a"&amp;"lso within the box under the plastic.")</f>
        <v>Good headphones Good headphones and easy to install on such good quality and good recharge with a very good sound. The percentage be well on the box that contains a pouch to protect it from external shocks. A cable alternative to the earphone nozzle are also within the box under the plastic.</v>
      </c>
    </row>
    <row r="3153">
      <c r="A3153" s="1">
        <v>4.0</v>
      </c>
      <c r="B3153" s="1" t="s">
        <v>3127</v>
      </c>
      <c r="C3153" t="str">
        <f>IFERROR(__xludf.DUMMYFUNCTION("GOOGLETRANSLATE(B3153, ""fr"", ""en"")"),"good quality, express delivery a bit big, but it does not matter in that sense, nice product, with comfortable pockets")</f>
        <v>good quality, express delivery a bit big, but it does not matter in that sense, nice product, with comfortable pockets</v>
      </c>
    </row>
    <row r="3154">
      <c r="A3154" s="1">
        <v>4.0</v>
      </c>
      <c r="B3154" s="1" t="s">
        <v>3128</v>
      </c>
      <c r="C3154" t="str">
        <f>IFERROR(__xludf.DUMMYFUNCTION("GOOGLETRANSLATE(B3154, ""fr"", ""en"")"),"Kettle RIVERA BAR Convenient, nice, quick but ... Bought there are already almost a year it still works as well! MOST - Streamlined design, harmonious sober - metallic gray color very modern - taking easy hand - perfect Capacity for boiling water and cook"&amp;" faster (soups, boiled eggs, steamed vegetables ...) - Very Quick 4 min 30 sec to bring to 100 ° C and 1 liter 1/2 cold tap water - it keeps the temperature very long time (if it remains in the base and on): water at 90 ° C after 10 min water at 88 ° C af"&amp;"ter 42 min - can view the volume contained by the scale installed in the side - can be selected very easily the temperature - A reminder beep and not forgetting the hot water on all base the LEAST - I find it a bit hot - bcp limestone forms and the anti l"&amp;"imestone filter lets not great blocks limescale - after heater is burning so always be careful - the closure is not practical it must be done with both hands - the price decked me t very high if we take into account small defects I recommend !! If you enj"&amp;"oyed this return, vote ""Comment useful""! it's always a pleasure. Otherwise leave a note!")</f>
        <v>Kettle RIVERA BAR Convenient, nice, quick but ... Bought there are already almost a year it still works as well! MOST - Streamlined design, harmonious sober - metallic gray color very modern - taking easy hand - perfect Capacity for boiling water and cook faster (soups, boiled eggs, steamed vegetables ...) - Very Quick 4 min 30 sec to bring to 100 ° C and 1 liter 1/2 cold tap water - it keeps the temperature very long time (if it remains in the base and on): water at 90 ° C after 10 min water at 88 ° C after 42 min - can view the volume contained by the scale installed in the side - can be selected very easily the temperature - A reminder beep and not forgetting the hot water on all base the LEAST - I find it a bit hot - bcp limestone forms and the anti limestone filter lets not great blocks limescale - after heater is burning so always be careful - the closure is not practical it must be done with both hands - the price decked me t very high if we take into account small defects I recommend !! If you enjoyed this return, vote "Comment useful"! it's always a pleasure. Otherwise leave a note!</v>
      </c>
    </row>
    <row r="3155">
      <c r="A3155" s="1">
        <v>5.0</v>
      </c>
      <c r="B3155" s="1" t="s">
        <v>3129</v>
      </c>
      <c r="C3155" t="str">
        <f>IFERROR(__xludf.DUMMYFUNCTION("GOOGLETRANSLATE(B3155, ""fr"", ""en"")"),"beautiful beautiful hair, beautiful chain, super shine")</f>
        <v>beautiful beautiful hair, beautiful chain, super shine</v>
      </c>
    </row>
    <row r="3156">
      <c r="A3156" s="1">
        <v>5.0</v>
      </c>
      <c r="B3156" s="1" t="s">
        <v>2457</v>
      </c>
      <c r="C3156" t="str">
        <f>IFERROR(__xludf.DUMMYFUNCTION("GOOGLETRANSLATE(B3156, ""fr"", ""en"")"),"Ok Ok")</f>
        <v>Ok Ok</v>
      </c>
    </row>
    <row r="3157">
      <c r="A3157" s="1">
        <v>5.0</v>
      </c>
      <c r="B3157" s="1" t="s">
        <v>3130</v>
      </c>
      <c r="C3157" t="str">
        <f>IFERROR(__xludf.DUMMYFUNCTION("GOOGLETRANSLATE(B3157, ""fr"", ""en"")"),"The little noise I am very happy because it makes little noise and very elegant")</f>
        <v>The little noise I am very happy because it makes little noise and very elegant</v>
      </c>
    </row>
    <row r="3158">
      <c r="A3158" s="1">
        <v>5.0</v>
      </c>
      <c r="B3158" s="1" t="s">
        <v>3131</v>
      </c>
      <c r="C3158" t="str">
        <f>IFERROR(__xludf.DUMMYFUNCTION("GOOGLETRANSLATE(B3158, ""fr"", ""en"")"),"Pretty light sweater Compliance in the selected size I make a 40/42 and I took the L. This sweater is fine but relatively warm mesh. The loose fit makes confortable.Il drops below the hips. Tight sleeves until the mid-forearm. Locations side pockets adds "&amp;"style. Finally the black color is deep and has held in 30 degree machine.")</f>
        <v>Pretty light sweater Compliance in the selected size I make a 40/42 and I took the L. This sweater is fine but relatively warm mesh. The loose fit makes confortable.Il drops below the hips. Tight sleeves until the mid-forearm. Locations side pockets adds style. Finally the black color is deep and has held in 30 degree machine.</v>
      </c>
    </row>
    <row r="3159">
      <c r="A3159" s="1">
        <v>5.0</v>
      </c>
      <c r="B3159" s="1" t="s">
        <v>3132</v>
      </c>
      <c r="C3159" t="str">
        <f>IFERROR(__xludf.DUMMYFUNCTION("GOOGLETRANSLATE(B3159, ""fr"", ""en"")"),"Too Too top top")</f>
        <v>Too Too top top</v>
      </c>
    </row>
    <row r="3160">
      <c r="A3160" s="1">
        <v>5.0</v>
      </c>
      <c r="B3160" s="1" t="s">
        <v>3133</v>
      </c>
      <c r="C3160" t="str">
        <f>IFERROR(__xludf.DUMMYFUNCTION("GOOGLETRANSLATE(B3160, ""fr"", ""en"")"),"Impeccable Very good - you go girl suitable for 2 ½ years. pretty colors")</f>
        <v>Impeccable Very good - you go girl suitable for 2 ½ years. pretty colors</v>
      </c>
    </row>
    <row r="3161">
      <c r="A3161" s="1">
        <v>5.0</v>
      </c>
      <c r="B3161" s="1" t="s">
        <v>3134</v>
      </c>
      <c r="C3161" t="str">
        <f>IFERROR(__xludf.DUMMYFUNCTION("GOOGLETRANSLATE(B3161, ""fr"", ""en"")"),"Excellent value! Small report after a few weeks: comfortable, detailed sound reproduction, deep bass, autonomy, wholesale perfect conformity to specifications; active noise reduction is very effective at low frequencies, but really not necessary when list"&amp;"ening to ""normal"" level - the helmet insulates enough. Accessories are really complete, and as headphones, very good; rigid carrying case is included and properly protect the whole. Super happy with my purchase!")</f>
        <v>Excellent value! Small report after a few weeks: comfortable, detailed sound reproduction, deep bass, autonomy, wholesale perfect conformity to specifications; active noise reduction is very effective at low frequencies, but really not necessary when listening to "normal" level - the helmet insulates enough. Accessories are really complete, and as headphones, very good; rigid carrying case is included and properly protect the whole. Super happy with my purchase!</v>
      </c>
    </row>
    <row r="3162">
      <c r="A3162" s="1">
        <v>5.0</v>
      </c>
      <c r="B3162" s="1" t="s">
        <v>3135</v>
      </c>
      <c r="C3162" t="str">
        <f>IFERROR(__xludf.DUMMYFUNCTION("GOOGLETRANSLATE(B3162, ""fr"", ""en"")"),"great product Whether for color or black cartridges, it is ESSENTIAL to buy original ink cartridges corresponding to the brand of your printer. The sub-brand, same guarantees compatible with sellers can cause irreversible damage to your equipment. So no f"&amp;"alse economies that are very expensive!")</f>
        <v>great product Whether for color or black cartridges, it is ESSENTIAL to buy original ink cartridges corresponding to the brand of your printer. The sub-brand, same guarantees compatible with sellers can cause irreversible damage to your equipment. So no false economies that are very expensive!</v>
      </c>
    </row>
    <row r="3163">
      <c r="A3163" s="1">
        <v>5.0</v>
      </c>
      <c r="B3163" s="1" t="s">
        <v>3136</v>
      </c>
      <c r="C3163" t="str">
        <f>IFERROR(__xludf.DUMMYFUNCTION("GOOGLETRANSLATE(B3163, ""fr"", ""en"")"),"good! love it, ordered in black and gray, not too thick nor too thin. I'm a woman and I'm 1m80, I took XXL to be well off in, I'm not disappointed! also very long, I roll up at the end. I just love it.")</f>
        <v>good! love it, ordered in black and gray, not too thick nor too thin. I'm a woman and I'm 1m80, I took XXL to be well off in, I'm not disappointed! also very long, I roll up at the end. I just love it.</v>
      </c>
    </row>
    <row r="3164">
      <c r="A3164" s="1">
        <v>5.0</v>
      </c>
      <c r="B3164" s="1" t="s">
        <v>3137</v>
      </c>
      <c r="C3164" t="str">
        <f>IFERROR(__xludf.DUMMYFUNCTION("GOOGLETRANSLATE(B3164, ""fr"", ""en"")"),"Super size product")</f>
        <v>Super size product</v>
      </c>
    </row>
    <row r="3165">
      <c r="A3165" s="1">
        <v>5.0</v>
      </c>
      <c r="B3165" s="1" t="s">
        <v>3138</v>
      </c>
      <c r="C3165" t="str">
        <f>IFERROR(__xludf.DUMMYFUNCTION("GOOGLETRANSLATE(B3165, ""fr"", ""en"")"),"Very good prices Very good price for this sweatshirt, very happy")</f>
        <v>Very good prices Very good price for this sweatshirt, very happy</v>
      </c>
    </row>
    <row r="3166">
      <c r="A3166" s="1">
        <v>5.0</v>
      </c>
      <c r="B3166" s="1" t="s">
        <v>3139</v>
      </c>
      <c r="C3166" t="str">
        <f>IFERROR(__xludf.DUMMYFUNCTION("GOOGLETRANSLATE(B3166, ""fr"", ""en"")"),"Superb quality superb quality, I highly recommend")</f>
        <v>Superb quality superb quality, I highly recommend</v>
      </c>
    </row>
    <row r="3167">
      <c r="A3167" s="1">
        <v>5.0</v>
      </c>
      <c r="B3167" s="1" t="s">
        <v>3140</v>
      </c>
      <c r="C3167" t="str">
        <f>IFERROR(__xludf.DUMMYFUNCTION("GOOGLETRANSLATE(B3167, ""fr"", ""en"")"),"Nickel Ideal for tutute my daughter Mam brand that does not ring! Turns and removes easily on tutute and stand well in time! Do not deform and do not change color")</f>
        <v>Nickel Ideal for tutute my daughter Mam brand that does not ring! Turns and removes easily on tutute and stand well in time! Do not deform and do not change color</v>
      </c>
    </row>
    <row r="3168">
      <c r="A3168" s="1">
        <v>5.0</v>
      </c>
      <c r="B3168" s="1" t="s">
        <v>3141</v>
      </c>
      <c r="C3168" t="str">
        <f>IFERROR(__xludf.DUMMYFUNCTION("GOOGLETRANSLATE(B3168, ""fr"", ""en"")"),"Super very very nice watch, too bad it was a bit big for me.")</f>
        <v>Super very very nice watch, too bad it was a bit big for me.</v>
      </c>
    </row>
    <row r="3169">
      <c r="A3169" s="1">
        <v>5.0</v>
      </c>
      <c r="B3169" s="1" t="s">
        <v>3142</v>
      </c>
      <c r="C3169" t="str">
        <f>IFERROR(__xludf.DUMMYFUNCTION("GOOGLETRANSLATE(B3169, ""fr"", ""en"")"),"perfect oil I used throughout my pregnancy and no stretch marks! This product is great. To use without moderation. I recommend it.")</f>
        <v>perfect oil I used throughout my pregnancy and no stretch marks! This product is great. To use without moderation. I recommend it.</v>
      </c>
    </row>
    <row r="3170">
      <c r="A3170" s="1">
        <v>2.0</v>
      </c>
      <c r="B3170" s="1" t="s">
        <v>3143</v>
      </c>
      <c r="C3170" t="str">
        <f>IFERROR(__xludf.DUMMYFUNCTION("GOOGLETRANSLATE(B3170, ""fr"", ""en"")"),"is not indeed cotton, contrary to what is written in the description, is not super soft, rather rough and not very wearable")</f>
        <v>is not indeed cotton, contrary to what is written in the description, is not super soft, rather rough and not very wearable</v>
      </c>
    </row>
    <row r="3171">
      <c r="A3171" s="1">
        <v>1.0</v>
      </c>
      <c r="B3171" s="1" t="s">
        <v>3144</v>
      </c>
      <c r="C3171" t="str">
        <f>IFERROR(__xludf.DUMMYFUNCTION("GOOGLETRANSLATE(B3171, ""fr"", ""en"")"),"Product without lid hermetic The product has flowed inside the package ... great")</f>
        <v>Product without lid hermetic The product has flowed inside the package ... great</v>
      </c>
    </row>
    <row r="3172">
      <c r="A3172" s="1">
        <v>3.0</v>
      </c>
      <c r="B3172" s="1" t="s">
        <v>3145</v>
      </c>
      <c r="C3172" t="str">
        <f>IFERROR(__xludf.DUMMYFUNCTION("GOOGLETRANSLATE(B3172, ""fr"", ""en"")"),"presentation - comfort during use rest period, positive good finish, less plastic outsole 100% flexible casting and may, above ext. -leather imitation doubled end, corresponds to its price value but certainly not more.")</f>
        <v>presentation - comfort during use rest period, positive good finish, less plastic outsole 100% flexible casting and may, above ext. -leather imitation doubled end, corresponds to its price value but certainly not more.</v>
      </c>
    </row>
    <row r="3173">
      <c r="A3173" s="1">
        <v>3.0</v>
      </c>
      <c r="B3173" s="1" t="s">
        <v>3146</v>
      </c>
      <c r="C3173" t="str">
        <f>IFERROR(__xludf.DUMMYFUNCTION("GOOGLETRANSLATE(B3173, ""fr"", ""en"")"),"Good, but fragile well but fragile. The top is damaged quickly, compared to other similar shoes")</f>
        <v>Good, but fragile well but fragile. The top is damaged quickly, compared to other similar shoes</v>
      </c>
    </row>
    <row r="3174">
      <c r="A3174" s="1">
        <v>4.0</v>
      </c>
      <c r="B3174" s="1" t="s">
        <v>3147</v>
      </c>
      <c r="C3174" t="str">
        <f>IFERROR(__xludf.DUMMYFUNCTION("GOOGLETRANSLATE(B3174, ""fr"", ""en"")"),"Clock radio simulator dawn Super genial product for its implementation it is necessary to memorize the operation manual. I recommend.")</f>
        <v>Clock radio simulator dawn Super genial product for its implementation it is necessary to memorize the operation manual. I recommend.</v>
      </c>
    </row>
    <row r="3175">
      <c r="A3175" s="1">
        <v>4.0</v>
      </c>
      <c r="B3175" s="1" t="s">
        <v>3148</v>
      </c>
      <c r="C3175" t="str">
        <f>IFERROR(__xludf.DUMMYFUNCTION("GOOGLETRANSLATE(B3175, ""fr"", ""en"")"),"On top Hyper happy with this purchase. Quality is at the appointment and is super nice even wearing it all day. It loads very quickly. Bluetooth connection level, no problem with a key Sennheiser BTD 500, the pairing is done without concern. I use it for "&amp;"my Skype calls and AC works fine. I do not put 5 stars because I regret that there was no software for further adjustments")</f>
        <v>On top Hyper happy with this purchase. Quality is at the appointment and is super nice even wearing it all day. It loads very quickly. Bluetooth connection level, no problem with a key Sennheiser BTD 500, the pairing is done without concern. I use it for my Skype calls and AC works fine. I do not put 5 stars because I regret that there was no software for further adjustments</v>
      </c>
    </row>
    <row r="3176">
      <c r="A3176" s="1">
        <v>4.0</v>
      </c>
      <c r="B3176" s="1" t="s">
        <v>3149</v>
      </c>
      <c r="C3176" t="str">
        <f>IFERROR(__xludf.DUMMYFUNCTION("GOOGLETRANSLATE(B3176, ""fr"", ""en"")"),"Good coffee but beware when it is hot I bought this kettle by its all-aluminum design. Heats quickly, a simple push on the button and go. However attention, given that it's all aluminum kettle is hot.")</f>
        <v>Good coffee but beware when it is hot I bought this kettle by its all-aluminum design. Heats quickly, a simple push on the button and go. However attention, given that it's all aluminum kettle is hot.</v>
      </c>
    </row>
    <row r="3177">
      <c r="A3177" s="1">
        <v>4.0</v>
      </c>
      <c r="B3177" s="1" t="s">
        <v>3150</v>
      </c>
      <c r="C3177" t="str">
        <f>IFERROR(__xludf.DUMMYFUNCTION("GOOGLETRANSLATE(B3177, ""fr"", ""en"")"),"Very comfortable large capacity very well for my leisure")</f>
        <v>Very comfortable large capacity very well for my leisure</v>
      </c>
    </row>
    <row r="3178">
      <c r="A3178" s="1">
        <v>4.0</v>
      </c>
      <c r="B3178" s="1" t="s">
        <v>3151</v>
      </c>
      <c r="C3178" t="str">
        <f>IFERROR(__xludf.DUMMYFUNCTION("GOOGLETRANSLATE(B3178, ""fr"", ""en"")"),"Ordered good product for my little son for skiing in addition to hot boots.Confortable moon but little used so I can not judge the longevity")</f>
        <v>Ordered good product for my little son for skiing in addition to hot boots.Confortable moon but little used so I can not judge the longevity</v>
      </c>
    </row>
    <row r="3179">
      <c r="A3179" s="1">
        <v>5.0</v>
      </c>
      <c r="B3179" s="1" t="s">
        <v>3152</v>
      </c>
      <c r="C3179" t="str">
        <f>IFERROR(__xludf.DUMMYFUNCTION("GOOGLETRANSLATE(B3179, ""fr"", ""en"")"),"Super satisfied shoulder bag! I am very satisfied with this purchase. The product is of good quality, lightweight and ideal for daily activities, we can put there everything you need: business card holder, key, car papers, handkerchiefs .... In short, it "&amp;"is quite sturdy, comfortable, convenient and beautiful, absolutely what I expect. I highly recommend.")</f>
        <v>Super satisfied shoulder bag! I am very satisfied with this purchase. The product is of good quality, lightweight and ideal for daily activities, we can put there everything you need: business card holder, key, car papers, handkerchiefs .... In short, it is quite sturdy, comfortable, convenient and beautiful, absolutely what I expect. I highly recommend.</v>
      </c>
    </row>
    <row r="3180">
      <c r="A3180" s="1">
        <v>5.0</v>
      </c>
      <c r="B3180" s="1" t="s">
        <v>3153</v>
      </c>
      <c r="C3180" t="str">
        <f>IFERROR(__xludf.DUMMYFUNCTION("GOOGLETRANSLATE(B3180, ""fr"", ""en"")"),"Quite happy with my purchase ... well Superb match the pendant.")</f>
        <v>Quite happy with my purchase ... well Superb match the pendant.</v>
      </c>
    </row>
    <row r="3181">
      <c r="A3181" s="1">
        <v>5.0</v>
      </c>
      <c r="B3181" s="1" t="s">
        <v>3154</v>
      </c>
      <c r="C3181" t="str">
        <f>IFERROR(__xludf.DUMMYFUNCTION("GOOGLETRANSLATE(B3181, ""fr"", ""en"")"),"As Nikel kettle Exceptional product quality and beautiful heating offers several temperatures really great and very ergonomic advise really 👍")</f>
        <v>As Nikel kettle Exceptional product quality and beautiful heating offers several temperatures really great and very ergonomic advise really 👍</v>
      </c>
    </row>
    <row r="3182">
      <c r="A3182" s="1">
        <v>5.0</v>
      </c>
      <c r="B3182" s="1" t="s">
        <v>3155</v>
      </c>
      <c r="C3182" t="str">
        <f>IFERROR(__xludf.DUMMYFUNCTION("GOOGLETRANSLATE(B3182, ""fr"", ""en"")"),"solid and solid bags practical bags and practices I use them for 5 years without any problem to report. Order on Amazon carefree also.")</f>
        <v>solid and solid bags practical bags and practices I use them for 5 years without any problem to report. Order on Amazon carefree also.</v>
      </c>
    </row>
    <row r="3183">
      <c r="A3183" s="1">
        <v>5.0</v>
      </c>
      <c r="B3183" s="1" t="s">
        <v>3156</v>
      </c>
      <c r="C3183" t="str">
        <f>IFERROR(__xludf.DUMMYFUNCTION("GOOGLETRANSLATE(B3183, ""fr"", ""en"")"),"Fast sending item complies super fast shipping")</f>
        <v>Fast sending item complies super fast shipping</v>
      </c>
    </row>
    <row r="3184">
      <c r="A3184" s="1">
        <v>5.0</v>
      </c>
      <c r="B3184" s="1" t="s">
        <v>3157</v>
      </c>
      <c r="C3184" t="str">
        <f>IFERROR(__xludf.DUMMYFUNCTION("GOOGLETRANSLATE(B3184, ""fr"", ""en"")"),"Conforms to good product description, recommended for bottle Bebeconfort. For soups or cereal is good, good quality, I recommend!")</f>
        <v>Conforms to good product description, recommended for bottle Bebeconfort. For soups or cereal is good, good quality, I recommend!</v>
      </c>
    </row>
    <row r="3185">
      <c r="A3185" s="1">
        <v>5.0</v>
      </c>
      <c r="B3185" s="1" t="s">
        <v>3158</v>
      </c>
      <c r="C3185" t="str">
        <f>IFERROR(__xludf.DUMMYFUNCTION("GOOGLETRANSLATE(B3185, ""fr"", ""en"")"),"Super Bluetooth headphones These headphones are TOP. the audio quality is very good. The ergonomics are great. It fits easily into the ear and hold very well. Loading is fast and autonomy is very good. I really recommend these Bluetooth headphones. I reco"&amp;"mmend")</f>
        <v>Super Bluetooth headphones These headphones are TOP. the audio quality is very good. The ergonomics are great. It fits easily into the ear and hold very well. Loading is fast and autonomy is very good. I really recommend these Bluetooth headphones. I recommend</v>
      </c>
    </row>
    <row r="3186">
      <c r="A3186" s="1">
        <v>5.0</v>
      </c>
      <c r="B3186" s="1" t="s">
        <v>3159</v>
      </c>
      <c r="C3186" t="str">
        <f>IFERROR(__xludf.DUMMYFUNCTION("GOOGLETRANSLATE(B3186, ""fr"", ""en"")"),"beautiful! 6 STARS deserves - for girls and boys - country representation very realistic glass: topissime easy cleaning for all ages, you just change pacifiers I use for my little son Ayden for 15 months and they are strong I pass them in the dishwasher")</f>
        <v>beautiful! 6 STARS deserves - for girls and boys - country representation very realistic glass: topissime easy cleaning for all ages, you just change pacifiers I use for my little son Ayden for 15 months and they are strong I pass them in the dishwasher</v>
      </c>
    </row>
    <row r="3187">
      <c r="A3187" s="1">
        <v>5.0</v>
      </c>
      <c r="B3187" s="1" t="s">
        <v>3160</v>
      </c>
      <c r="C3187" t="str">
        <f>IFERROR(__xludf.DUMMYFUNCTION("GOOGLETRANSLATE(B3187, ""fr"", ""en"")"),"On top Very fan of these super powerful balls smell with barely a small dose. The machine senses the fresh very long!")</f>
        <v>On top Very fan of these super powerful balls smell with barely a small dose. The machine senses the fresh very long!</v>
      </c>
    </row>
    <row r="3188">
      <c r="A3188" s="1">
        <v>5.0</v>
      </c>
      <c r="B3188" s="1" t="s">
        <v>3161</v>
      </c>
      <c r="C3188" t="str">
        <f>IFERROR(__xludf.DUMMYFUNCTION("GOOGLETRANSLATE(B3188, ""fr"", ""en"")"),"very good very good")</f>
        <v>very good very good</v>
      </c>
    </row>
    <row r="3189">
      <c r="A3189" s="1">
        <v>5.0</v>
      </c>
      <c r="B3189" s="1" t="s">
        <v>3162</v>
      </c>
      <c r="C3189" t="str">
        <f>IFERROR(__xludf.DUMMYFUNCTION("GOOGLETRANSLATE(B3189, ""fr"", ""en"")"),"Ideal as a gift Meets description. Colored and shiny")</f>
        <v>Ideal as a gift Meets description. Colored and shiny</v>
      </c>
    </row>
    <row r="3190">
      <c r="A3190" s="1">
        <v>5.0</v>
      </c>
      <c r="B3190" s="1" t="s">
        <v>3163</v>
      </c>
      <c r="C3190" t="str">
        <f>IFERROR(__xludf.DUMMYFUNCTION("GOOGLETRANSLATE(B3190, ""fr"", ""en"")"),"Nice discovery. tea machines have long existed. However I have always ignored thinking it was not difficult to make tea in a teapot. Today I'm only drinking tea at home, a cup of freshly made tea I like. I had the opportunity to test this tea maker Electr"&amp;"ic and I am delighted. I think the tea in bulk users with teapot 6 cups will not be interested, but the tea users to cup will be filled. Anyway, for me, it suits me so much! I use it daily and several times a day. I love it. I tested all black teas capsul"&amp;"es included in the tasting package and I immediately placed an order on the website by taking advantage of the introductory offer. Rooibos infusions and are also available as well as black teas, green, blue and white.")</f>
        <v>Nice discovery. tea machines have long existed. However I have always ignored thinking it was not difficult to make tea in a teapot. Today I'm only drinking tea at home, a cup of freshly made tea I like. I had the opportunity to test this tea maker Electric and I am delighted. I think the tea in bulk users with teapot 6 cups will not be interested, but the tea users to cup will be filled. Anyway, for me, it suits me so much! I use it daily and several times a day. I love it. I tested all black teas capsules included in the tasting package and I immediately placed an order on the website by taking advantage of the introductory offer. Rooibos infusions and are also available as well as black teas, green, blue and white.</v>
      </c>
    </row>
    <row r="3191">
      <c r="A3191" s="1">
        <v>5.0</v>
      </c>
      <c r="B3191" s="1" t="s">
        <v>3164</v>
      </c>
      <c r="C3191" t="str">
        <f>IFERROR(__xludf.DUMMYFUNCTION("GOOGLETRANSLATE(B3191, ""fr"", ""en"")"),"Okay Gola shoes")</f>
        <v>Okay Gola shoes</v>
      </c>
    </row>
    <row r="3192">
      <c r="A3192" s="1">
        <v>5.0</v>
      </c>
      <c r="B3192" s="1" t="s">
        <v>3165</v>
      </c>
      <c r="C3192" t="str">
        <f>IFERROR(__xludf.DUMMYFUNCTION("GOOGLETRANSLATE(B3192, ""fr"", ""en"")"),"J Brand Super love this brand are the material are super comfortable and super nice cuts")</f>
        <v>J Brand Super love this brand are the material are super comfortable and super nice cuts</v>
      </c>
    </row>
    <row r="3193">
      <c r="A3193" s="1">
        <v>5.0</v>
      </c>
      <c r="B3193" s="1" t="s">
        <v>3166</v>
      </c>
      <c r="C3193" t="str">
        <f>IFERROR(__xludf.DUMMYFUNCTION("GOOGLETRANSLATE(B3193, ""fr"", ""en"")"),"100% compliant, perfect. Available for a birthday, the person has been conquered. It is a good size, very Zen with its wood effect. It diffuses well odors and releases a pretty white smoke for use. No complaints.")</f>
        <v>100% compliant, perfect. Available for a birthday, the person has been conquered. It is a good size, very Zen with its wood effect. It diffuses well odors and releases a pretty white smoke for use. No complaints.</v>
      </c>
    </row>
    <row r="3194">
      <c r="A3194" s="1">
        <v>2.0</v>
      </c>
      <c r="B3194" s="1" t="s">
        <v>3167</v>
      </c>
      <c r="C3194" t="str">
        <f>IFERROR(__xludf.DUMMYFUNCTION("GOOGLETRANSLATE(B3194, ""fr"", ""en"")"),"Friendly but unpleasant material Sweat is super nice level design and colors but it is very tight at the shoulders and the material is very ""plastic"": it is not pleasant at all. I preferred the returned!")</f>
        <v>Friendly but unpleasant material Sweat is super nice level design and colors but it is very tight at the shoulders and the material is very "plastic": it is not pleasant at all. I preferred the returned!</v>
      </c>
    </row>
    <row r="3195">
      <c r="A3195" s="1">
        <v>1.0</v>
      </c>
      <c r="B3195" s="1" t="s">
        <v>3168</v>
      </c>
      <c r="C3195" t="str">
        <f>IFERROR(__xludf.DUMMYFUNCTION("GOOGLETRANSLATE(B3195, ""fr"", ""en"")"),"Not waterproof I work butchery and each cleaning I take the water")</f>
        <v>Not waterproof I work butchery and each cleaning I take the water</v>
      </c>
    </row>
    <row r="3196">
      <c r="A3196" s="1">
        <v>1.0</v>
      </c>
      <c r="B3196" s="1" t="s">
        <v>3169</v>
      </c>
      <c r="C3196" t="str">
        <f>IFERROR(__xludf.DUMMYFUNCTION("GOOGLETRANSLATE(B3196, ""fr"", ""en"")"),"Disappointed I really recommend! I ordered 3 different leggings, received two identical, and the quality is desired for truly transparent !! Disappointed with my order.")</f>
        <v>Disappointed I really recommend! I ordered 3 different leggings, received two identical, and the quality is desired for truly transparent !! Disappointed with my order.</v>
      </c>
    </row>
    <row r="3197">
      <c r="A3197" s="1">
        <v>3.0</v>
      </c>
      <c r="B3197" s="1" t="s">
        <v>3170</v>
      </c>
      <c r="C3197" t="str">
        <f>IFERROR(__xludf.DUMMYFUNCTION("GOOGLETRANSLATE(B3197, ""fr"", ""en"")"),"Property markers Good but the colors are amazing. ..deux fluorescent yellow but no jaune.4 or 5 blue but no gray")</f>
        <v>Property markers Good but the colors are amazing. ..deux fluorescent yellow but no jaune.4 or 5 blue but no gray</v>
      </c>
    </row>
    <row r="3198">
      <c r="A3198" s="1">
        <v>3.0</v>
      </c>
      <c r="B3198" s="1" t="s">
        <v>3171</v>
      </c>
      <c r="C3198" t="str">
        <f>IFERROR(__xludf.DUMMYFUNCTION("GOOGLETRANSLATE(B3198, ""fr"", ""en"")"),"Sizzling too hard Micro has a sizzling too strong er er quality a bit ho hum")</f>
        <v>Sizzling too hard Micro has a sizzling too strong er er quality a bit ho hum</v>
      </c>
    </row>
    <row r="3199">
      <c r="A3199" s="1">
        <v>4.0</v>
      </c>
      <c r="B3199" s="1" t="s">
        <v>3172</v>
      </c>
      <c r="C3199" t="str">
        <f>IFERROR(__xludf.DUMMYFUNCTION("GOOGLETRANSLATE(B3199, ""fr"", ""en"")"),"bra top that keeps pretty much the chest color that matches the photo. Small flat, I think it's good to spend a time machine before wearing them because I saw it drop off a little fiber on muscu machines.")</f>
        <v>bra top that keeps pretty much the chest color that matches the photo. Small flat, I think it's good to spend a time machine before wearing them because I saw it drop off a little fiber on muscu machines.</v>
      </c>
    </row>
    <row r="3200">
      <c r="A3200" s="1">
        <v>4.0</v>
      </c>
      <c r="B3200" s="1" t="s">
        <v>3173</v>
      </c>
      <c r="C3200" t="str">
        <f>IFERROR(__xludf.DUMMYFUNCTION("GOOGLETRANSLATE(B3200, ""fr"", ""en"")"),"Good Good cartridges cartridges")</f>
        <v>Good Good cartridges cartridges</v>
      </c>
    </row>
    <row r="3201">
      <c r="A3201" s="1">
        <v>4.0</v>
      </c>
      <c r="B3201" s="1" t="s">
        <v>3174</v>
      </c>
      <c r="C3201" t="str">
        <f>IFERROR(__xludf.DUMMYFUNCTION("GOOGLETRANSLATE(B3201, ""fr"", ""en"")"),"Do not tear and is even resistant Convenient and very good quality")</f>
        <v>Do not tear and is even resistant Convenient and very good quality</v>
      </c>
    </row>
    <row r="3202">
      <c r="A3202" s="1">
        <v>4.0</v>
      </c>
      <c r="B3202" s="1" t="s">
        <v>3175</v>
      </c>
      <c r="C3202" t="str">
        <f>IFERROR(__xludf.DUMMYFUNCTION("GOOGLETRANSLATE(B3202, ""fr"", ""en"")"),"Size although correct size")</f>
        <v>Size although correct size</v>
      </c>
    </row>
    <row r="3203">
      <c r="A3203" s="1">
        <v>5.0</v>
      </c>
      <c r="B3203" s="1" t="s">
        <v>3176</v>
      </c>
      <c r="C3203" t="str">
        <f>IFERROR(__xludf.DUMMYFUNCTION("GOOGLETRANSLATE(B3203, ""fr"", ""en"")"),"This is perfect for loved karaoke, recording, interviews or just play with a rap or beatbox. I love it and my children.")</f>
        <v>This is perfect for loved karaoke, recording, interviews or just play with a rap or beatbox. I love it and my children.</v>
      </c>
    </row>
    <row r="3204">
      <c r="A3204" s="1">
        <v>5.0</v>
      </c>
      <c r="B3204" s="1" t="s">
        <v>3177</v>
      </c>
      <c r="C3204" t="str">
        <f>IFERROR(__xludf.DUMMYFUNCTION("GOOGLETRANSLATE(B3204, ""fr"", ""en"")"),"Impeccable !!!! the converse is for my daughter, size 36 NICKEL, they are top conforms to the brief description no surprises Order this item, I recommend !! and fast delivery !! thank you")</f>
        <v>Impeccable !!!! the converse is for my daughter, size 36 NICKEL, they are top conforms to the brief description no surprises Order this item, I recommend !! and fast delivery !! thank you</v>
      </c>
    </row>
    <row r="3205">
      <c r="A3205" s="1">
        <v>5.0</v>
      </c>
      <c r="B3205" s="1" t="s">
        <v>3178</v>
      </c>
      <c r="C3205" t="str">
        <f>IFERROR(__xludf.DUMMYFUNCTION("GOOGLETRANSLATE(B3205, ""fr"", ""en"")"),"Lovely Originality + price")</f>
        <v>Lovely Originality + price</v>
      </c>
    </row>
    <row r="3206">
      <c r="A3206" s="1">
        <v>5.0</v>
      </c>
      <c r="B3206" s="1" t="s">
        <v>3179</v>
      </c>
      <c r="C3206" t="str">
        <f>IFERROR(__xludf.DUMMYFUNCTION("GOOGLETRANSLATE(B3206, ""fr"", ""en"")"),"Dodie has changed our lives !! Dodie has changed our lives !! Our little piece did not want to, we tried Tigex, Advent ... He did not want to test the Dodie pacifiers ... Magic !! It seems that Mom is not bad too!")</f>
        <v>Dodie has changed our lives !! Dodie has changed our lives !! Our little piece did not want to, we tried Tigex, Advent ... He did not want to test the Dodie pacifiers ... Magic !! It seems that Mom is not bad too!</v>
      </c>
    </row>
    <row r="3207">
      <c r="A3207" s="1">
        <v>5.0</v>
      </c>
      <c r="B3207" s="1" t="s">
        <v>3180</v>
      </c>
      <c r="C3207" t="str">
        <f>IFERROR(__xludf.DUMMYFUNCTION("GOOGLETRANSLATE(B3207, ""fr"", ""en"")"),"Excellent Excellent !! Very easy to use, very good temperature, but it is essential to put the case for very hot! Turns off after the desired Temp. 😉je highly recommend 😁")</f>
        <v>Excellent Excellent !! Very easy to use, very good temperature, but it is essential to put the case for very hot! Turns off after the desired Temp. 😉je highly recommend 😁</v>
      </c>
    </row>
    <row r="3208">
      <c r="A3208" s="1">
        <v>5.0</v>
      </c>
      <c r="B3208" s="1" t="s">
        <v>3181</v>
      </c>
      <c r="C3208" t="str">
        <f>IFERROR(__xludf.DUMMYFUNCTION("GOOGLETRANSLATE(B3208, ""fr"", ""en"")"),"Beautiful, ergonomic, sturdy and great !!! I bought my first helmet Marshall 5 years ago and despite the hardware helmet crumbling, the sound is always great! I wanted a new helmet with Bluetooth and I decided to buy the Marshall! I am quite satisfied wit"&amp;"h my purchase. The helmet is very beautiful, the design is ergonomic and modern. Some users do not like the greenhouse helmet head but I love it! He would like in place and the noise reduction function is good but could be better. The s small noises are n"&amp;"ot cleared not all noise. I have not yet tested the Bluetooth feature but I would recommend this product 100%.")</f>
        <v>Beautiful, ergonomic, sturdy and great !!! I bought my first helmet Marshall 5 years ago and despite the hardware helmet crumbling, the sound is always great! I wanted a new helmet with Bluetooth and I decided to buy the Marshall! I am quite satisfied with my purchase. The helmet is very beautiful, the design is ergonomic and modern. Some users do not like the greenhouse helmet head but I love it! He would like in place and the noise reduction function is good but could be better. The s small noises are not cleared not all noise. I have not yet tested the Bluetooth feature but I would recommend this product 100%.</v>
      </c>
    </row>
    <row r="3209">
      <c r="A3209" s="1">
        <v>5.0</v>
      </c>
      <c r="B3209" s="1" t="s">
        <v>3182</v>
      </c>
      <c r="C3209" t="str">
        <f>IFERROR(__xludf.DUMMYFUNCTION("GOOGLETRANSLATE(B3209, ""fr"", ""en"")"),"Very well. Perfect for sports, size perfectly.")</f>
        <v>Very well. Perfect for sports, size perfectly.</v>
      </c>
    </row>
    <row r="3210">
      <c r="A3210" s="1">
        <v>5.0</v>
      </c>
      <c r="B3210" s="1" t="s">
        <v>3183</v>
      </c>
      <c r="C3210" t="str">
        <f>IFERROR(__xludf.DUMMYFUNCTION("GOOGLETRANSLATE(B3210, ""fr"", ""en"")"),"ideal guide for pre-teens and teens My 12 year old son loves this guide, there are sections where it is not relevant but that will come soon! I highly recommend because it can answer many questions, and I also advises parents to read !!!")</f>
        <v>ideal guide for pre-teens and teens My 12 year old son loves this guide, there are sections where it is not relevant but that will come soon! I highly recommend because it can answer many questions, and I also advises parents to read !!!</v>
      </c>
    </row>
    <row r="3211">
      <c r="A3211" s="1">
        <v>5.0</v>
      </c>
      <c r="B3211" s="1" t="s">
        <v>3184</v>
      </c>
      <c r="C3211" t="str">
        <f>IFERROR(__xludf.DUMMYFUNCTION("GOOGLETRANSLATE(B3211, ""fr"", ""en"")"),"Hooded sweat shirt size L man I had ordered this product in another color. My son passed without problems and wanted the same in black. We are quite satisfied.")</f>
        <v>Hooded sweat shirt size L man I had ordered this product in another color. My son passed without problems and wanted the same in black. We are quite satisfied.</v>
      </c>
    </row>
    <row r="3212">
      <c r="A3212" s="1">
        <v>5.0</v>
      </c>
      <c r="B3212" s="1" t="s">
        <v>3185</v>
      </c>
      <c r="C3212" t="str">
        <f>IFERROR(__xludf.DUMMYFUNCTION("GOOGLETRANSLATE(B3212, ""fr"", ""en"")"),"Suitable for jogging ... ~~~ ""The packaging is worthy of a brand of high-end Quality of étuie and headphones is impeccable. I tested them to watch my series on my phone and I confess that I 'was surprised by the sound quality and also the functionality o"&amp;"f the touch earphones. It was a birthday present for my husband but when I tested I borrow every night to enjoy myself !!! @. ..")</f>
        <v>Suitable for jogging ... ~~~ "The packaging is worthy of a brand of high-end Quality of étuie and headphones is impeccable. I tested them to watch my series on my phone and I confess that I 'was surprised by the sound quality and also the functionality of the touch earphones. It was a birthday present for my husband but when I tested I borrow every night to enjoy myself !!! @. ..</v>
      </c>
    </row>
    <row r="3213">
      <c r="A3213" s="1">
        <v>5.0</v>
      </c>
      <c r="B3213" s="1" t="s">
        <v>3186</v>
      </c>
      <c r="C3213" t="str">
        <f>IFERROR(__xludf.DUMMYFUNCTION("GOOGLETRANSLATE(B3213, ""fr"", ""en"")"),"Okay For several years I take these asics. They suit me perfectly.")</f>
        <v>Okay For several years I take these asics. They suit me perfectly.</v>
      </c>
    </row>
    <row r="3214">
      <c r="A3214" s="1">
        <v>5.0</v>
      </c>
      <c r="B3214" s="1" t="s">
        <v>3187</v>
      </c>
      <c r="C3214" t="str">
        <f>IFERROR(__xludf.DUMMYFUNCTION("GOOGLETRANSLATE(B3214, ""fr"", ""en"")"),"Perfect fulfilled its function I adore Top All bottles pass whatever their size! I recommend")</f>
        <v>Perfect fulfilled its function I adore Top All bottles pass whatever their size! I recommend</v>
      </c>
    </row>
    <row r="3215">
      <c r="A3215" s="1">
        <v>5.0</v>
      </c>
      <c r="B3215" s="1" t="s">
        <v>3188</v>
      </c>
      <c r="C3215" t="str">
        <f>IFERROR(__xludf.DUMMYFUNCTION("GOOGLETRANSLATE(B3215, ""fr"", ""en"")"),"Perfect Very good ideal table for Reiki. I recommend")</f>
        <v>Perfect Very good ideal table for Reiki. I recommend</v>
      </c>
    </row>
    <row r="3216">
      <c r="A3216" s="1">
        <v>5.0</v>
      </c>
      <c r="B3216" s="1" t="s">
        <v>3189</v>
      </c>
      <c r="C3216" t="str">
        <f>IFERROR(__xludf.DUMMYFUNCTION("GOOGLETRANSLATE(B3216, ""fr"", ""en"")"),"electric blanket Very happy with the quality of product, thank you!")</f>
        <v>electric blanket Very happy with the quality of product, thank you!</v>
      </c>
    </row>
    <row r="3217">
      <c r="A3217" s="1">
        <v>5.0</v>
      </c>
      <c r="B3217" s="1" t="s">
        <v>3190</v>
      </c>
      <c r="C3217" t="str">
        <f>IFERROR(__xludf.DUMMYFUNCTION("GOOGLETRANSLATE(B3217, ""fr"", ""en"")"),"works fine record has been translated in an experimental French .... ... we still understand. The transmitter carrier headphone set works fine is the principal. There is a microphone for use in audio communication using the phone and just the headset Blue"&amp;"tooth or the cable with conventional taken Jack3.5.les communications are fine. it is a very good device thank you")</f>
        <v>works fine record has been translated in an experimental French .... ... we still understand. The transmitter carrier headphone set works fine is the principal. There is a microphone for use in audio communication using the phone and just the headset Bluetooth or the cable with conventional taken Jack3.5.les communications are fine. it is a very good device thank you</v>
      </c>
    </row>
    <row r="3218">
      <c r="A3218" s="1">
        <v>2.0</v>
      </c>
      <c r="B3218" s="1" t="s">
        <v>3191</v>
      </c>
      <c r="C3218" t="str">
        <f>IFERROR(__xludf.DUMMYFUNCTION("GOOGLETRANSLATE(B3218, ""fr"", ""en"")"),"well in soft but not strong for you worked on flat ground")</f>
        <v>well in soft but not strong for you worked on flat ground</v>
      </c>
    </row>
    <row r="3219">
      <c r="A3219" s="1">
        <v>1.0</v>
      </c>
      <c r="B3219" s="1" t="s">
        <v>3192</v>
      </c>
      <c r="C3219" t="str">
        <f>IFERROR(__xludf.DUMMYFUNCTION("GOOGLETRANSLATE(B3219, ""fr"", ""en"")"),"not AT ALL an EU tailor This is not a European but Chinese size !!!!! This is not the 43 European Union CHINESE but are at least 2 sizes smaller ... It's false advertising, they are importable ... I want people to pay me!")</f>
        <v>not AT ALL an EU tailor This is not a European but Chinese size !!!!! This is not the 43 European Union CHINESE but are at least 2 sizes smaller ... It's false advertising, they are importable ... I want people to pay me!</v>
      </c>
    </row>
    <row r="3220">
      <c r="A3220" s="1">
        <v>1.0</v>
      </c>
      <c r="B3220" s="1" t="s">
        <v>3193</v>
      </c>
      <c r="C3220" t="str">
        <f>IFERROR(__xludf.DUMMYFUNCTION("GOOGLETRANSLATE(B3220, ""fr"", ""en"")"),"we do the same thing with liquid dish! dishwashing liquid and warm water and soft brush is perfect and cheap ..... I'm a pigeon and you?")</f>
        <v>we do the same thing with liquid dish! dishwashing liquid and warm water and soft brush is perfect and cheap ..... I'm a pigeon and you?</v>
      </c>
    </row>
    <row r="3221">
      <c r="A3221" s="1">
        <v>3.0</v>
      </c>
      <c r="B3221" s="1" t="s">
        <v>1547</v>
      </c>
      <c r="C3221" t="str">
        <f>IFERROR(__xludf.DUMMYFUNCTION("GOOGLETRANSLATE(B3221, ""fr"", ""en"")"),"Ras Ras")</f>
        <v>Ras Ras</v>
      </c>
    </row>
    <row r="3222">
      <c r="A3222" s="1">
        <v>3.0</v>
      </c>
      <c r="B3222" s="1" t="s">
        <v>3194</v>
      </c>
      <c r="C3222" t="str">
        <f>IFERROR(__xludf.DUMMYFUNCTION("GOOGLETRANSLATE(B3222, ""fr"", ""en"")"),"Insufficient Good everyday pocket, but it's two different pockets")</f>
        <v>Insufficient Good everyday pocket, but it's two different pockets</v>
      </c>
    </row>
    <row r="3223">
      <c r="A3223" s="1">
        <v>4.0</v>
      </c>
      <c r="B3223" s="1" t="s">
        <v>3195</v>
      </c>
      <c r="C3223" t="str">
        <f>IFERROR(__xludf.DUMMYFUNCTION("GOOGLETRANSLATE(B3223, ""fr"", ""en"")"),"good simple aesthetic product readable strong value / price I offered my father owned in later life he loves")</f>
        <v>good simple aesthetic product readable strong value / price I offered my father owned in later life he loves</v>
      </c>
    </row>
    <row r="3224">
      <c r="A3224" s="1">
        <v>4.0</v>
      </c>
      <c r="B3224" s="1" t="s">
        <v>3196</v>
      </c>
      <c r="C3224" t="str">
        <f>IFERROR(__xludf.DUMMYFUNCTION("GOOGLETRANSLATE(B3224, ""fr"", ""en"")"),"Bi office eraser brush Very good")</f>
        <v>Bi office eraser brush Very good</v>
      </c>
    </row>
    <row r="3225">
      <c r="A3225" s="1">
        <v>4.0</v>
      </c>
      <c r="B3225" s="1" t="s">
        <v>3197</v>
      </c>
      <c r="C3225" t="str">
        <f>IFERROR(__xludf.DUMMYFUNCTION("GOOGLETRANSLATE(B3225, ""fr"", ""en"")"),"Conforms to the expected product RAS")</f>
        <v>Conforms to the expected product RAS</v>
      </c>
    </row>
    <row r="3226">
      <c r="A3226" s="1">
        <v>4.0</v>
      </c>
      <c r="B3226" s="1" t="s">
        <v>1547</v>
      </c>
      <c r="C3226" t="str">
        <f>IFERROR(__xludf.DUMMYFUNCTION("GOOGLETRANSLATE(B3226, ""fr"", ""en"")"),"Ras Ras")</f>
        <v>Ras Ras</v>
      </c>
    </row>
    <row r="3227">
      <c r="A3227" s="1">
        <v>5.0</v>
      </c>
      <c r="B3227" s="1" t="s">
        <v>3198</v>
      </c>
      <c r="C3227" t="str">
        <f>IFERROR(__xludf.DUMMYFUNCTION("GOOGLETRANSLATE(B3227, ""fr"", ""en"")"),"Super presentation box and old alike Superb my daughter will be happy for Christmas.")</f>
        <v>Super presentation box and old alike Superb my daughter will be happy for Christmas.</v>
      </c>
    </row>
    <row r="3228">
      <c r="A3228" s="1">
        <v>5.0</v>
      </c>
      <c r="B3228" s="1" t="s">
        <v>3199</v>
      </c>
      <c r="C3228" t="str">
        <f>IFERROR(__xludf.DUMMYFUNCTION("GOOGLETRANSLATE(B3228, ""fr"", ""en"")"),"Perfect Particularly easy to use, color is also very pretty, the girl likes him, the sound is fun, the price is cheap. 👍👍👍")</f>
        <v>Perfect Particularly easy to use, color is also very pretty, the girl likes him, the sound is fun, the price is cheap. 👍👍👍</v>
      </c>
    </row>
    <row r="3229">
      <c r="A3229" s="1">
        <v>5.0</v>
      </c>
      <c r="B3229" s="1" t="s">
        <v>3200</v>
      </c>
      <c r="C3229" t="str">
        <f>IFERROR(__xludf.DUMMYFUNCTION("GOOGLETRANSLATE(B3229, ""fr"", ""en"")"),"pencils perfect for babies pencils perfect for babies: size allows them to have well in hand, so they are well-spanning fat (even on the fingers provide a hand washing after), the colors are vibrant. We can draw on any media: paper, glass, cloth, plastic "&amp;"and ... walls and floors .... do not worry, the pencil strokes or during washing with a sponge")</f>
        <v>pencils perfect for babies pencils perfect for babies: size allows them to have well in hand, so they are well-spanning fat (even on the fingers provide a hand washing after), the colors are vibrant. We can draw on any media: paper, glass, cloth, plastic and ... walls and floors .... do not worry, the pencil strokes or during washing with a sponge</v>
      </c>
    </row>
    <row r="3230">
      <c r="A3230" s="1">
        <v>5.0</v>
      </c>
      <c r="B3230" s="1" t="s">
        <v>1261</v>
      </c>
      <c r="C3230" t="str">
        <f>IFERROR(__xludf.DUMMYFUNCTION("GOOGLETRANSLATE(B3230, ""fr"", ""en"")"),"good good")</f>
        <v>good good</v>
      </c>
    </row>
    <row r="3231">
      <c r="A3231" s="1">
        <v>5.0</v>
      </c>
      <c r="B3231" s="1" t="s">
        <v>3201</v>
      </c>
      <c r="C3231" t="str">
        <f>IFERROR(__xludf.DUMMYFUNCTION("GOOGLETRANSLATE(B3231, ""fr"", ""en"")"),"Complies description I bought this product because I wanted one and this one is at the top very quiet and aesthetic I recommend")</f>
        <v>Complies description I bought this product because I wanted one and this one is at the top very quiet and aesthetic I recommend</v>
      </c>
    </row>
    <row r="3232">
      <c r="A3232" s="1">
        <v>5.0</v>
      </c>
      <c r="B3232" s="1" t="s">
        <v>3202</v>
      </c>
      <c r="C3232" t="str">
        <f>IFERROR(__xludf.DUMMYFUNCTION("GOOGLETRANSLATE(B3232, ""fr"", ""en"")"),"parfais Magnificent small bola the small sound (bell-style). I received many compliments by wearing it. I recommend it")</f>
        <v>parfais Magnificent small bola the small sound (bell-style). I received many compliments by wearing it. I recommend it</v>
      </c>
    </row>
    <row r="3233">
      <c r="A3233" s="1">
        <v>5.0</v>
      </c>
      <c r="B3233" s="1" t="s">
        <v>3203</v>
      </c>
      <c r="C3233" t="str">
        <f>IFERROR(__xludf.DUMMYFUNCTION("GOOGLETRANSLATE(B3233, ""fr"", ""en"")"),"Space saving compact little compared to Bebea")</f>
        <v>Space saving compact little compared to Bebea</v>
      </c>
    </row>
    <row r="3234">
      <c r="A3234" s="1">
        <v>5.0</v>
      </c>
      <c r="B3234" s="1" t="s">
        <v>3204</v>
      </c>
      <c r="C3234" t="str">
        <f>IFERROR(__xludf.DUMMYFUNCTION("GOOGLETRANSLATE(B3234, ""fr"", ""en"")"),"Bottle Pink Good product")</f>
        <v>Bottle Pink Good product</v>
      </c>
    </row>
    <row r="3235">
      <c r="A3235" s="1">
        <v>5.0</v>
      </c>
      <c r="B3235" s="1" t="s">
        <v>3205</v>
      </c>
      <c r="C3235" t="str">
        <f>IFERROR(__xludf.DUMMYFUNCTION("GOOGLETRANSLATE(B3235, ""fr"", ""en"")"),"Very happy happy with my purchase because my daughter needed to get organized for its ferry revision. Received quickly.")</f>
        <v>Very happy happy with my purchase because my daughter needed to get organized for its ferry revision. Received quickly.</v>
      </c>
    </row>
    <row r="3236">
      <c r="A3236" s="1">
        <v>5.0</v>
      </c>
      <c r="B3236" s="1" t="s">
        <v>3206</v>
      </c>
      <c r="C3236" t="str">
        <f>IFERROR(__xludf.DUMMYFUNCTION("GOOGLETRANSLATE(B3236, ""fr"", ""en"")"),"beautiful sneakers shoes very comfortable. Ideal during long walks, very good cushioning. I recommend.")</f>
        <v>beautiful sneakers shoes very comfortable. Ideal during long walks, very good cushioning. I recommend.</v>
      </c>
    </row>
    <row r="3237">
      <c r="A3237" s="1">
        <v>5.0</v>
      </c>
      <c r="B3237" s="1" t="s">
        <v>3207</v>
      </c>
      <c r="C3237" t="str">
        <f>IFERROR(__xludf.DUMMYFUNCTION("GOOGLETRANSLATE(B3237, ""fr"", ""en"")"),"I recommend dosing Perfect Product")</f>
        <v>I recommend dosing Perfect Product</v>
      </c>
    </row>
    <row r="3238">
      <c r="A3238" s="1">
        <v>5.0</v>
      </c>
      <c r="B3238" s="1" t="s">
        <v>3208</v>
      </c>
      <c r="C3238" t="str">
        <f>IFERROR(__xludf.DUMMYFUNCTION("GOOGLETRANSLATE(B3238, ""fr"", ""en"")"),"Very satisfied Leather is super nice as the picture and rendering is very good. Inside is quite large and it can put a lot of things, including my checkbook and my wallet. There is a fastener on the top: at first glance it may appear not be practical, but"&amp;" actually I can store everything.")</f>
        <v>Very satisfied Leather is super nice as the picture and rendering is very good. Inside is quite large and it can put a lot of things, including my checkbook and my wallet. There is a fastener on the top: at first glance it may appear not be practical, but actually I can store everything.</v>
      </c>
    </row>
    <row r="3239">
      <c r="A3239" s="1">
        <v>5.0</v>
      </c>
      <c r="B3239" s="1" t="s">
        <v>3209</v>
      </c>
      <c r="C3239" t="str">
        <f>IFERROR(__xludf.DUMMYFUNCTION("GOOGLETRANSLATE(B3239, ""fr"", ""en"")"),"Cable Install good quality since 8 months now with a home cinema amp together and I have nothing to reproach has its cables. They are well worth the value.")</f>
        <v>Cable Install good quality since 8 months now with a home cinema amp together and I have nothing to reproach has its cables. They are well worth the value.</v>
      </c>
    </row>
    <row r="3240">
      <c r="A3240" s="1">
        <v>5.0</v>
      </c>
      <c r="B3240" s="1" t="s">
        <v>3210</v>
      </c>
      <c r="C3240" t="str">
        <f>IFERROR(__xludf.DUMMYFUNCTION("GOOGLETRANSLATE(B3240, ""fr"", ""en"")"),"Top Perfect for my little guy of 17 months!")</f>
        <v>Top Perfect for my little guy of 17 months!</v>
      </c>
    </row>
    <row r="3241">
      <c r="A3241" s="1">
        <v>5.0</v>
      </c>
      <c r="B3241" s="1" t="s">
        <v>3211</v>
      </c>
      <c r="C3241" t="str">
        <f>IFERROR(__xludf.DUMMYFUNCTION("GOOGLETRANSLATE(B3241, ""fr"", ""en"")"),"Satisfied They are very comfortable I would recommend.")</f>
        <v>Satisfied They are very comfortable I would recommend.</v>
      </c>
    </row>
    <row r="3242">
      <c r="A3242" s="1">
        <v>2.0</v>
      </c>
      <c r="B3242" s="1" t="s">
        <v>3212</v>
      </c>
      <c r="C3242" t="str">
        <f>IFERROR(__xludf.DUMMYFUNCTION("GOOGLETRANSLATE(B3242, ""fr"", ""en"")"),"No top tennis really great size and the laces are very strange .... I do not like their terms ....")</f>
        <v>No top tennis really great size and the laces are very strange .... I do not like their terms ....</v>
      </c>
    </row>
    <row r="3243">
      <c r="A3243" s="1">
        <v>1.0</v>
      </c>
      <c r="B3243" s="1" t="s">
        <v>3213</v>
      </c>
      <c r="C3243" t="str">
        <f>IFERROR(__xludf.DUMMYFUNCTION("GOOGLETRANSLATE(B3243, ""fr"", ""en"")"),"disappointed he missed a stone")</f>
        <v>disappointed he missed a stone</v>
      </c>
    </row>
    <row r="3244">
      <c r="A3244" s="1">
        <v>1.0</v>
      </c>
      <c r="B3244" s="1" t="s">
        <v>3214</v>
      </c>
      <c r="C3244" t="str">
        <f>IFERROR(__xludf.DUMMYFUNCTION("GOOGLETRANSLATE(B3244, ""fr"", ""en"")"),"Wrong size / color Nothing bad is good compared to the control: I ordered size 41-45 black. I received size 36-40 purple ...")</f>
        <v>Wrong size / color Nothing bad is good compared to the control: I ordered size 41-45 black. I received size 36-40 purple ...</v>
      </c>
    </row>
    <row r="3245">
      <c r="A3245" s="1">
        <v>3.0</v>
      </c>
      <c r="B3245" s="1" t="s">
        <v>3215</v>
      </c>
      <c r="C3245" t="str">
        <f>IFERROR(__xludf.DUMMYFUNCTION("GOOGLETRANSLATE(B3245, ""fr"", ""en"")"),"Nice product ... but size is not specified when purchasing. It was to offer a man and the bracelet is slightly too big which is a shame. It would either indicate the size in centimeters or have a double fasteners to be able to readjust itself. Otherwise i"&amp;"t is really nice.")</f>
        <v>Nice product ... but size is not specified when purchasing. It was to offer a man and the bracelet is slightly too big which is a shame. It would either indicate the size in centimeters or have a double fasteners to be able to readjust itself. Otherwise it is really nice.</v>
      </c>
    </row>
    <row r="3246">
      <c r="A3246" s="1">
        <v>4.0</v>
      </c>
      <c r="B3246" s="1" t="s">
        <v>3216</v>
      </c>
      <c r="C3246" t="str">
        <f>IFERROR(__xludf.DUMMYFUNCTION("GOOGLETRANSLATE(B3246, ""fr"", ""en"")"),"Of Grave beautiful but highly resilient")</f>
        <v>Of Grave beautiful but highly resilient</v>
      </c>
    </row>
    <row r="3247">
      <c r="A3247" s="1">
        <v>4.0</v>
      </c>
      <c r="B3247" s="1" t="s">
        <v>3217</v>
      </c>
      <c r="C3247" t="str">
        <f>IFERROR(__xludf.DUMMYFUNCTION("GOOGLETRANSLATE(B3247, ""fr"", ""en"")"),"Price Very good but very expensive to use 1 box 1 week")</f>
        <v>Price Very good but very expensive to use 1 box 1 week</v>
      </c>
    </row>
    <row r="3248">
      <c r="A3248" s="1">
        <v>4.0</v>
      </c>
      <c r="B3248" s="1" t="s">
        <v>3218</v>
      </c>
      <c r="C3248" t="str">
        <f>IFERROR(__xludf.DUMMYFUNCTION("GOOGLETRANSLATE(B3248, ""fr"", ""en"")"),"High sound quality far RDV BUT ... After several months of use, I confirm my comment on the quality of audio playback! Excellent for this type of headphones. A BIG negative: As others have already mentioned, the case of the battery charge dissipates very "&amp;"quickly (+/- 2 days) for non use of ""all this is absolutely not in normal. this product! So Mrs Sennheiser, what do we do ???")</f>
        <v>High sound quality far RDV BUT ... After several months of use, I confirm my comment on the quality of audio playback! Excellent for this type of headphones. A BIG negative: As others have already mentioned, the case of the battery charge dissipates very quickly (+/- 2 days) for non use of "all this is absolutely not in normal. this product! So Mrs Sennheiser, what do we do ???</v>
      </c>
    </row>
    <row r="3249">
      <c r="A3249" s="1">
        <v>4.0</v>
      </c>
      <c r="B3249" s="1" t="s">
        <v>3219</v>
      </c>
      <c r="C3249" t="str">
        <f>IFERROR(__xludf.DUMMYFUNCTION("GOOGLETRANSLATE(B3249, ""fr"", ""en"")"),"Beautiful jewelry Beautiful Necklace Very Good price a little late")</f>
        <v>Beautiful jewelry Beautiful Necklace Very Good price a little late</v>
      </c>
    </row>
    <row r="3250">
      <c r="A3250" s="1">
        <v>5.0</v>
      </c>
      <c r="B3250" s="1" t="s">
        <v>3220</v>
      </c>
      <c r="C3250" t="str">
        <f>IFERROR(__xludf.DUMMYFUNCTION("GOOGLETRANSLATE(B3250, ""fr"", ""en"")"),"Good value good product I recommend")</f>
        <v>Good value good product I recommend</v>
      </c>
    </row>
    <row r="3251">
      <c r="A3251" s="1">
        <v>5.0</v>
      </c>
      <c r="B3251" s="1" t="s">
        <v>3221</v>
      </c>
      <c r="C3251" t="str">
        <f>IFERROR(__xludf.DUMMYFUNCTION("GOOGLETRANSLATE(B3251, ""fr"", ""en"")"),"the top super bag better in real life than on the photo and corresponds perfectly to that one! I put everything I need is a perfect size not too big and look very cool and shoulder so as to Indiana Jones! I just love it ! it is super resistant quality is "&amp;"reflected in appearance and weight of the bag! I am very demanding and I'm delighted with my purchase, which was very quick to be delivered (faster than expected!)")</f>
        <v>the top super bag better in real life than on the photo and corresponds perfectly to that one! I put everything I need is a perfect size not too big and look very cool and shoulder so as to Indiana Jones! I just love it ! it is super resistant quality is reflected in appearance and weight of the bag! I am very demanding and I'm delighted with my purchase, which was very quick to be delivered (faster than expected!)</v>
      </c>
    </row>
    <row r="3252">
      <c r="A3252" s="1">
        <v>5.0</v>
      </c>
      <c r="B3252" s="1" t="s">
        <v>3222</v>
      </c>
      <c r="C3252" t="str">
        <f>IFERROR(__xludf.DUMMYFUNCTION("GOOGLETRANSLATE(B3252, ""fr"", ""en"")"),"Perfect Jewelry New reverted")</f>
        <v>Perfect Jewelry New reverted</v>
      </c>
    </row>
    <row r="3253">
      <c r="A3253" s="1">
        <v>5.0</v>
      </c>
      <c r="B3253" s="1" t="s">
        <v>3223</v>
      </c>
      <c r="C3253" t="str">
        <f>IFERROR(__xludf.DUMMYFUNCTION("GOOGLETRANSLATE(B3253, ""fr"", ""en"")"),"Super nibbler JAdore very convenient when we begin to give pieces a baby. He can eat pieces of fruit, vegetables or bread easily without choking hazard")</f>
        <v>Super nibbler JAdore very convenient when we begin to give pieces a baby. He can eat pieces of fruit, vegetables or bread easily without choking hazard</v>
      </c>
    </row>
    <row r="3254">
      <c r="A3254" s="1">
        <v>5.0</v>
      </c>
      <c r="B3254" s="1" t="s">
        <v>3224</v>
      </c>
      <c r="C3254" t="str">
        <f>IFERROR(__xludf.DUMMYFUNCTION("GOOGLETRANSLATE(B3254, ""fr"", ""en"")"),"T.shirt long sleeve M Good product, it looks good, after the fabric is thin enough. By cons, Fortunately I have read other reviews as what it is better to take one size smaller than the usual one takes. I confirm! I made the L but I took the M, it suits m"&amp;"e perfectly. Delivery time. I recommend")</f>
        <v>T.shirt long sleeve M Good product, it looks good, after the fabric is thin enough. By cons, Fortunately I have read other reviews as what it is better to take one size smaller than the usual one takes. I confirm! I made the L but I took the M, it suits me perfectly. Delivery time. I recommend</v>
      </c>
    </row>
    <row r="3255">
      <c r="A3255" s="1">
        <v>5.0</v>
      </c>
      <c r="B3255" s="1" t="s">
        <v>3225</v>
      </c>
      <c r="C3255" t="str">
        <f>IFERROR(__xludf.DUMMYFUNCTION("GOOGLETRANSLATE(B3255, ""fr"", ""en"")"),"A remote control makes the job not fault this remote does what is asked of him and more! The USB key that begins in the remote control is very convenient to avoid losing all the time. There is no latency and scope is very good, I even tried to + 20m and i"&amp;"t always worked. The button which mutes the display on the screen while continuing the project on the second screen is very convenient feature that not many other remotes. The laser also has a very large scope, actually I'm not finish namely until distanc"&amp;"e continues to be same as testing my street it continued to see the other side from the street. In either a purchase I am very happy!")</f>
        <v>A remote control makes the job not fault this remote does what is asked of him and more! The USB key that begins in the remote control is very convenient to avoid losing all the time. There is no latency and scope is very good, I even tried to + 20m and it always worked. The button which mutes the display on the screen while continuing the project on the second screen is very convenient feature that not many other remotes. The laser also has a very large scope, actually I'm not finish namely until distance continues to be same as testing my street it continued to see the other side from the street. In either a purchase I am very happy!</v>
      </c>
    </row>
    <row r="3256">
      <c r="A3256" s="1">
        <v>5.0</v>
      </c>
      <c r="B3256" s="1" t="s">
        <v>3226</v>
      </c>
      <c r="C3256" t="str">
        <f>IFERROR(__xludf.DUMMYFUNCTION("GOOGLETRANSLATE(B3256, ""fr"", ""en"")"),"Class Attractive brown strap I ordered a gift for Christmas. My friend the satisfied air, and rendering is chic.")</f>
        <v>Class Attractive brown strap I ordered a gift for Christmas. My friend the satisfied air, and rendering is chic.</v>
      </c>
    </row>
    <row r="3257">
      <c r="A3257" s="1">
        <v>5.0</v>
      </c>
      <c r="B3257" s="1" t="s">
        <v>3227</v>
      </c>
      <c r="C3257" t="str">
        <f>IFERROR(__xludf.DUMMYFUNCTION("GOOGLETRANSLATE(B3257, ""fr"", ""en"")"),"very good brand (Fila) works for use")</f>
        <v>very good brand (Fila) works for use</v>
      </c>
    </row>
    <row r="3258">
      <c r="A3258" s="1">
        <v>5.0</v>
      </c>
      <c r="B3258" s="1" t="s">
        <v>3228</v>
      </c>
      <c r="C3258" t="str">
        <f>IFERROR(__xludf.DUMMYFUNCTION("GOOGLETRANSLATE(B3258, ""fr"", ""en"")"),"GOOD HELMET This is for my husband he is very happy good value for money it is very nice and especially the French translation was very pleasant")</f>
        <v>GOOD HELMET This is for my husband he is very happy good value for money it is very nice and especially the French translation was very pleasant</v>
      </c>
    </row>
    <row r="3259">
      <c r="A3259" s="1">
        <v>5.0</v>
      </c>
      <c r="B3259" s="1" t="s">
        <v>3229</v>
      </c>
      <c r="C3259" t="str">
        <f>IFERROR(__xludf.DUMMYFUNCTION("GOOGLETRANSLATE(B3259, ""fr"", ""en"")"),"Perfect product delivered on time, in line with my request.")</f>
        <v>Perfect product delivered on time, in line with my request.</v>
      </c>
    </row>
    <row r="3260">
      <c r="A3260" s="1">
        <v>5.0</v>
      </c>
      <c r="B3260" s="1" t="s">
        <v>3230</v>
      </c>
      <c r="C3260" t="str">
        <f>IFERROR(__xludf.DUMMYFUNCTION("GOOGLETRANSLATE(B3260, ""fr"", ""en"")"),"Very good acquisition, very light and very versatile and accurate! Not being a sound specialist, I'm not a reference but I was looking for a good closed versatile helmet because I listen to both classical, jazz, electro as hardcore punk. I'm thrilled beca"&amp;"use the sound is more precise and neutral, not too low especially for the classic ... The helmet is half open so you get a little what happens around but sound travels better and gives an impression very significant opening. The headset is lightweight and"&amp;" can be worn for a long time without tiring apart a little sore ear cartilage after a long time maybe ... The headset is compact with a big hoop so use rather inside but it adapts to the heads (perhaps careful if you have a small head) the cable is remova"&amp;"ble and long (but connector proprio) but soft enough so be careful not to pinch. The set is a bit plastoc perhaps, especially any plastic protects header but hey it ensures its lightness and then ultimately for the price, I do not have much to complain ab"&amp;"out!")</f>
        <v>Very good acquisition, very light and very versatile and accurate! Not being a sound specialist, I'm not a reference but I was looking for a good closed versatile helmet because I listen to both classical, jazz, electro as hardcore punk. I'm thrilled because the sound is more precise and neutral, not too low especially for the classic ... The helmet is half open so you get a little what happens around but sound travels better and gives an impression very significant opening. The headset is lightweight and can be worn for a long time without tiring apart a little sore ear cartilage after a long time maybe ... The headset is compact with a big hoop so use rather inside but it adapts to the heads (perhaps careful if you have a small head) the cable is removable and long (but connector proprio) but soft enough so be careful not to pinch. The set is a bit plastoc perhaps, especially any plastic protects header but hey it ensures its lightness and then ultimately for the price, I do not have much to complain about!</v>
      </c>
    </row>
    <row r="3261">
      <c r="A3261" s="1">
        <v>5.0</v>
      </c>
      <c r="B3261" s="1" t="s">
        <v>3231</v>
      </c>
      <c r="C3261" t="str">
        <f>IFERROR(__xludf.DUMMYFUNCTION("GOOGLETRANSLATE(B3261, ""fr"", ""en"")"),"Great quality and comfortable ventilated Super ventilated and comfortable quality")</f>
        <v>Great quality and comfortable ventilated Super ventilated and comfortable quality</v>
      </c>
    </row>
    <row r="3262">
      <c r="A3262" s="1">
        <v>5.0</v>
      </c>
      <c r="B3262" s="1" t="s">
        <v>3232</v>
      </c>
      <c r="C3262" t="str">
        <f>IFERROR(__xludf.DUMMYFUNCTION("GOOGLETRANSLATE(B3262, ""fr"", ""en"")"),"good product I childminder and I need to heat baby bottles secure manner. Easy to use and handle. I only use it for baby bottles currently. It seems long to heat but when baby seems hungry all time forever. I'm happy with this purchase.")</f>
        <v>good product I childminder and I need to heat baby bottles secure manner. Easy to use and handle. I only use it for baby bottles currently. It seems long to heat but when baby seems hungry all time forever. I'm happy with this purchase.</v>
      </c>
    </row>
    <row r="3263">
      <c r="A3263" s="1">
        <v>5.0</v>
      </c>
      <c r="B3263" s="1" t="s">
        <v>3233</v>
      </c>
      <c r="C3263" t="str">
        <f>IFERROR(__xludf.DUMMYFUNCTION("GOOGLETRANSLATE(B3263, ""fr"", ""en"")"),"Super contante! I'm so happy it's like I wanted the same color, and no difference of default. Really great I love")</f>
        <v>Super contante! I'm so happy it's like I wanted the same color, and no difference of default. Really great I love</v>
      </c>
    </row>
    <row r="3264">
      <c r="A3264" s="1">
        <v>5.0</v>
      </c>
      <c r="B3264" s="1" t="s">
        <v>3234</v>
      </c>
      <c r="C3264" t="str">
        <f>IFERROR(__xludf.DUMMYFUNCTION("GOOGLETRANSLATE(B3264, ""fr"", ""en"")"),"The TOP 21 ASICS NIMBUS I run all the time with asics and I bought this pair of Asics Gel Nimbus 21 at a great price. Authentic and top value.")</f>
        <v>The TOP 21 ASICS NIMBUS I run all the time with asics and I bought this pair of Asics Gel Nimbus 21 at a great price. Authentic and top value.</v>
      </c>
    </row>
    <row r="3265">
      <c r="A3265" s="1">
        <v>2.0</v>
      </c>
      <c r="B3265" s="1" t="s">
        <v>3235</v>
      </c>
      <c r="C3265" t="str">
        <f>IFERROR(__xludf.DUMMYFUNCTION("GOOGLETRANSLATE(B3265, ""fr"", ""en"")"),"Tea sulk Not very convenient as limestone happen quickly and the kettle should be removed regularly to such points that I have bought another. Other brand. Very disappointed with the product")</f>
        <v>Tea sulk Not very convenient as limestone happen quickly and the kettle should be removed regularly to such points that I have bought another. Other brand. Very disappointed with the product</v>
      </c>
    </row>
    <row r="3266">
      <c r="A3266" s="1">
        <v>1.0</v>
      </c>
      <c r="B3266" s="1" t="s">
        <v>3236</v>
      </c>
      <c r="C3266" t="str">
        <f>IFERROR(__xludf.DUMMYFUNCTION("GOOGLETRANSLATE(B3266, ""fr"", ""en"")"),"Plastic in the kettle Product is beautiful! But the bad surprise is that there is plastic inside in several places. We know that the plastic may be hazardous to health with heat. I'm so disappointed. I find that it is not well designed.")</f>
        <v>Plastic in the kettle Product is beautiful! But the bad surprise is that there is plastic inside in several places. We know that the plastic may be hazardous to health with heat. I'm so disappointed. I find that it is not well designed.</v>
      </c>
    </row>
    <row r="3267">
      <c r="A3267" s="1">
        <v>3.0</v>
      </c>
      <c r="B3267" s="1" t="s">
        <v>3237</v>
      </c>
      <c r="C3267" t="str">
        <f>IFERROR(__xludf.DUMMYFUNCTION("GOOGLETRANSLATE(B3267, ""fr"", ""en"")"),"Top Perfect for perspiring feet practice otherwise ..")</f>
        <v>Top Perfect for perspiring feet practice otherwise ..</v>
      </c>
    </row>
    <row r="3268">
      <c r="A3268" s="1">
        <v>3.0</v>
      </c>
      <c r="B3268" s="1" t="s">
        <v>3238</v>
      </c>
      <c r="C3268" t="str">
        <f>IFERROR(__xludf.DUMMYFUNCTION("GOOGLETRANSLATE(B3268, ""fr"", ""en"")"),"Not cheap HP sells its still expensive cartridges! Otherwise 100% quality product recognized by the printer which is not always the case with remanufactured alas!")</f>
        <v>Not cheap HP sells its still expensive cartridges! Otherwise 100% quality product recognized by the printer which is not always the case with remanufactured alas!</v>
      </c>
    </row>
    <row r="3269">
      <c r="A3269" s="1">
        <v>4.0</v>
      </c>
      <c r="B3269" s="1" t="s">
        <v>3239</v>
      </c>
      <c r="C3269" t="str">
        <f>IFERROR(__xludf.DUMMYFUNCTION("GOOGLETRANSLATE(B3269, ""fr"", ""en"")"),"Effective Practices these wipes that prevent colors from changing while containing a stain remover powder inside. They are effective in their two functions. Only small problem: If washed at low temperature and short cycle, the seconding powder does not di"&amp;"ffuse during the wash cycle and agglomerates in the wipe.")</f>
        <v>Effective Practices these wipes that prevent colors from changing while containing a stain remover powder inside. They are effective in their two functions. Only small problem: If washed at low temperature and short cycle, the seconding powder does not diffuse during the wash cycle and agglomerates in the wipe.</v>
      </c>
    </row>
    <row r="3270">
      <c r="A3270" s="1">
        <v>4.0</v>
      </c>
      <c r="B3270" s="1" t="s">
        <v>3240</v>
      </c>
      <c r="C3270" t="str">
        <f>IFERROR(__xludf.DUMMYFUNCTION("GOOGLETRANSLATE(B3270, ""fr"", ""en"")"),"Original earphone original model sold with Samsung S8 and Note 8 Very good")</f>
        <v>Original earphone original model sold with Samsung S8 and Note 8 Very good</v>
      </c>
    </row>
    <row r="3271">
      <c r="A3271" s="1">
        <v>4.0</v>
      </c>
      <c r="B3271" s="1" t="s">
        <v>3241</v>
      </c>
      <c r="C3271" t="str">
        <f>IFERROR(__xludf.DUMMYFUNCTION("GOOGLETRANSLATE(B3271, ""fr"", ""en"")"),"Although compliant but not tested")</f>
        <v>Although compliant but not tested</v>
      </c>
    </row>
    <row r="3272">
      <c r="A3272" s="1">
        <v>4.0</v>
      </c>
      <c r="B3272" s="1" t="s">
        <v>3242</v>
      </c>
      <c r="C3272" t="str">
        <f>IFERROR(__xludf.DUMMYFUNCTION("GOOGLETRANSLATE(B3272, ""fr"", ""en"")"),"Super Very good")</f>
        <v>Super Very good</v>
      </c>
    </row>
    <row r="3273">
      <c r="A3273" s="1">
        <v>5.0</v>
      </c>
      <c r="B3273" s="1" t="s">
        <v>3243</v>
      </c>
      <c r="C3273" t="str">
        <f>IFERROR(__xludf.DUMMYFUNCTION("GOOGLETRANSLATE(B3273, ""fr"", ""en"")"),"perfect white light! If you are like me and you can not stand the yellow light is perfect (see my video). I was looking for a lamp that makes white light because I find the warm light too bland for a working environment on a computer, this lamp is 2 in ca"&amp;"se you want to rest your eyes with the yellow, so this is perfect! - Ignition and intensity / color adjustable by touch is perfect! - Bending in all directions is niquel! - Base can be a little big but it can go click on ""YES"" if my review is useful to "&amp;"you!")</f>
        <v>perfect white light! If you are like me and you can not stand the yellow light is perfect (see my video). I was looking for a lamp that makes white light because I find the warm light too bland for a working environment on a computer, this lamp is 2 in case you want to rest your eyes with the yellow, so this is perfect! - Ignition and intensity / color adjustable by touch is perfect! - Bending in all directions is niquel! - Base can be a little big but it can go click on "YES" if my review is useful to you!</v>
      </c>
    </row>
    <row r="3274">
      <c r="A3274" s="1">
        <v>5.0</v>
      </c>
      <c r="B3274" s="1" t="s">
        <v>3244</v>
      </c>
      <c r="C3274" t="str">
        <f>IFERROR(__xludf.DUMMYFUNCTION("GOOGLETRANSLATE(B3274, ""fr"", ""en"")"),"Nickel I love that ring I put it all day it has not lost its luster. The value is really unbeatable.")</f>
        <v>Nickel I love that ring I put it all day it has not lost its luster. The value is really unbeatable.</v>
      </c>
    </row>
    <row r="3275">
      <c r="A3275" s="1">
        <v>5.0</v>
      </c>
      <c r="B3275" s="1" t="s">
        <v>3245</v>
      </c>
      <c r="C3275" t="str">
        <f>IFERROR(__xludf.DUMMYFUNCTION("GOOGLETRANSLATE(B3275, ""fr"", ""en"")"),"Good product I much this brand bottle I use for my first and I did the same for the second practice use and wash I recommend this product to all mothers")</f>
        <v>Good product I much this brand bottle I use for my first and I did the same for the second practice use and wash I recommend this product to all mothers</v>
      </c>
    </row>
    <row r="3276">
      <c r="A3276" s="1">
        <v>5.0</v>
      </c>
      <c r="B3276" s="1" t="s">
        <v>3246</v>
      </c>
      <c r="C3276" t="str">
        <f>IFERROR(__xludf.DUMMYFUNCTION("GOOGLETRANSLATE(B3276, ""fr"", ""en"")"),"Super headphones Headphones are really good quality sound and autonomy are truly exceptional I counsel everyone on a budget")</f>
        <v>Super headphones Headphones are really good quality sound and autonomy are truly exceptional I counsel everyone on a budget</v>
      </c>
    </row>
    <row r="3277">
      <c r="A3277" s="1">
        <v>5.0</v>
      </c>
      <c r="B3277" s="1" t="s">
        <v>3247</v>
      </c>
      <c r="C3277" t="str">
        <f>IFERROR(__xludf.DUMMYFUNCTION("GOOGLETRANSLATE(B3277, ""fr"", ""en"")"),"Good sound! I was looking for a wireless headset and not too expensive. This headset offers excellent sound. Autonomy can listen to music for many hours. Small BENOL for noise reduction: we must increase the volume to hear no more external noise. I recomm"&amp;"end this helmet for its quality and great price.")</f>
        <v>Good sound! I was looking for a wireless headset and not too expensive. This headset offers excellent sound. Autonomy can listen to music for many hours. Small BENOL for noise reduction: we must increase the volume to hear no more external noise. I recommend this helmet for its quality and great price.</v>
      </c>
    </row>
    <row r="3278">
      <c r="A3278" s="1">
        <v>5.0</v>
      </c>
      <c r="B3278" s="1" t="s">
        <v>3248</v>
      </c>
      <c r="C3278" t="str">
        <f>IFERROR(__xludf.DUMMYFUNCTION("GOOGLETRANSLATE(B3278, ""fr"", ""en"")"),"Simple, accurate and robust: the effective headset I already knew this helmet before you buy because a friend had bought. We really struggling ironing to other helmets after use, so it's good. I like the sound fidelity Sennheiser and I both living helmets"&amp;" that nomadic helmets of the same brand. I will never throw my helmet: I repaired in service. This helmet was particularly attracted by the availability of spare parts. It is designed in Germany and built in Ireland and more: it is rare these days. It's s"&amp;"afe and sound, to buy eyes closed. The pro audiovisual use it much.")</f>
        <v>Simple, accurate and robust: the effective headset I already knew this helmet before you buy because a friend had bought. We really struggling ironing to other helmets after use, so it's good. I like the sound fidelity Sennheiser and I both living helmets that nomadic helmets of the same brand. I will never throw my helmet: I repaired in service. This helmet was particularly attracted by the availability of spare parts. It is designed in Germany and built in Ireland and more: it is rare these days. It's safe and sound, to buy eyes closed. The pro audiovisual use it much.</v>
      </c>
    </row>
    <row r="3279">
      <c r="A3279" s="1">
        <v>5.0</v>
      </c>
      <c r="B3279" s="1" t="s">
        <v>3249</v>
      </c>
      <c r="C3279" t="str">
        <f>IFERROR(__xludf.DUMMYFUNCTION("GOOGLETRANSLATE(B3279, ""fr"", ""en"")"),"Although cut I always buy this Super model for the all-season tennis ++++")</f>
        <v>Although cut I always buy this Super model for the all-season tennis ++++</v>
      </c>
    </row>
    <row r="3280">
      <c r="A3280" s="1">
        <v>5.0</v>
      </c>
      <c r="B3280" s="1" t="s">
        <v>3250</v>
      </c>
      <c r="C3280" t="str">
        <f>IFERROR(__xludf.DUMMYFUNCTION("GOOGLETRANSLATE(B3280, ""fr"", ""en"")"),"perfect to wear very nice inside're a little toupee. size perfectly.")</f>
        <v>perfect to wear very nice inside're a little toupee. size perfectly.</v>
      </c>
    </row>
    <row r="3281">
      <c r="A3281" s="1">
        <v>5.0</v>
      </c>
      <c r="B3281" s="1" t="s">
        <v>3251</v>
      </c>
      <c r="C3281" t="str">
        <f>IFERROR(__xludf.DUMMYFUNCTION("GOOGLETRANSLATE(B3281, ""fr"", ""en"")"),"Quality product I use this product for over a week now, and I can say it is very pleasant to use, the motors of the machine are sturdy when it's red it heats slightly neck is very cool I bought it for me (because massage fan) but I think it's a good idea "&amp;"Gift. Nice product quality")</f>
        <v>Quality product I use this product for over a week now, and I can say it is very pleasant to use, the motors of the machine are sturdy when it's red it heats slightly neck is very cool I bought it for me (because massage fan) but I think it's a good idea Gift. Nice product quality</v>
      </c>
    </row>
    <row r="3282">
      <c r="A3282" s="1">
        <v>5.0</v>
      </c>
      <c r="B3282" s="1" t="s">
        <v>3252</v>
      </c>
      <c r="C3282" t="str">
        <f>IFERROR(__xludf.DUMMYFUNCTION("GOOGLETRANSLATE(B3282, ""fr"", ""en"")"),"Only bottle readily accepted accepted by my baby.")</f>
        <v>Only bottle readily accepted accepted by my baby.</v>
      </c>
    </row>
    <row r="3283">
      <c r="A3283" s="1">
        <v>5.0</v>
      </c>
      <c r="B3283" s="1" t="s">
        <v>3253</v>
      </c>
      <c r="C3283" t="str">
        <f>IFERROR(__xludf.DUMMYFUNCTION("GOOGLETRANSLATE(B3283, ""fr"", ""en"")"),"Very cute I liked this model as a gift for my oldest daughter owl fan and loves Zen symbols as illustrates this necklace. The pendant is designed and shines thanks to zirconium. Hallmark certifying real money. strong chain punched too. Plus: delivered in "&amp;"gift box. Happy with my purchase.")</f>
        <v>Very cute I liked this model as a gift for my oldest daughter owl fan and loves Zen symbols as illustrates this necklace. The pendant is designed and shines thanks to zirconium. Hallmark certifying real money. strong chain punched too. Plus: delivered in gift box. Happy with my purchase.</v>
      </c>
    </row>
    <row r="3284">
      <c r="A3284" s="1">
        <v>5.0</v>
      </c>
      <c r="B3284" s="1" t="s">
        <v>3254</v>
      </c>
      <c r="C3284" t="str">
        <f>IFERROR(__xludf.DUMMYFUNCTION("GOOGLETRANSLATE(B3284, ""fr"", ""en"")"),"Julie earrings super quality earrings, the closure is well protected! I am quite sensitive it suit me to the top!")</f>
        <v>Julie earrings super quality earrings, the closure is well protected! I am quite sensitive it suit me to the top!</v>
      </c>
    </row>
    <row r="3285">
      <c r="A3285" s="1">
        <v>5.0</v>
      </c>
      <c r="B3285" s="1" t="s">
        <v>3255</v>
      </c>
      <c r="C3285" t="str">
        <f>IFERROR(__xludf.DUMMYFUNCTION("GOOGLETRANSLATE(B3285, ""fr"", ""en"")"),"Perfect! They are beautiful and very comfortable.")</f>
        <v>Perfect! They are beautiful and very comfortable.</v>
      </c>
    </row>
    <row r="3286">
      <c r="A3286" s="1">
        <v>5.0</v>
      </c>
      <c r="B3286" s="1" t="s">
        <v>3256</v>
      </c>
      <c r="C3286" t="str">
        <f>IFERROR(__xludf.DUMMYFUNCTION("GOOGLETRANSLATE(B3286, ""fr"", ""en"")"),"Top! Top! Quality, delivered in an attractive pouch.")</f>
        <v>Top! Top! Quality, delivered in an attractive pouch.</v>
      </c>
    </row>
    <row r="3287">
      <c r="A3287" s="1">
        <v>5.0</v>
      </c>
      <c r="B3287" s="1" t="s">
        <v>3257</v>
      </c>
      <c r="C3287" t="str">
        <f>IFERROR(__xludf.DUMMYFUNCTION("GOOGLETRANSLATE(B3287, ""fr"", ""en"")"),"GARBAGE BAGS Ecolo Handy Bag, just the name we are not disappointed by the quality and strength of the leakproof bags plus they are recycled. Under 7 € to 20 bags: Hat ...")</f>
        <v>GARBAGE BAGS Ecolo Handy Bag, just the name we are not disappointed by the quality and strength of the leakproof bags plus they are recycled. Under 7 € to 20 bags: Hat ...</v>
      </c>
    </row>
    <row r="3288">
      <c r="A3288" s="1">
        <v>5.0</v>
      </c>
      <c r="B3288" s="1" t="s">
        <v>3258</v>
      </c>
      <c r="C3288" t="str">
        <f>IFERROR(__xludf.DUMMYFUNCTION("GOOGLETRANSLATE(B3288, ""fr"", ""en"")"),"J'ador, I strongly advice Hello / Good evening I will go very fast, the quality of the microphone is troppppp well, its adds style to your setup and easy to use more installation. I suggest you buy a card that sends the CLS micro 5V for sharper sound If y"&amp;"ou want to put on PS4, his works but you have the card, if it is a PS4 PRO (for my case) must provide a kind of mini USB extension cable male to female USB card for the CLS is too wide not pass between the edge of the PS4 PRO. I strongly advice you is I h"&amp;"ope you helped her aurat.")</f>
        <v>J'ador, I strongly advice Hello / Good evening I will go very fast, the quality of the microphone is troppppp well, its adds style to your setup and easy to use more installation. I suggest you buy a card that sends the CLS micro 5V for sharper sound If you want to put on PS4, his works but you have the card, if it is a PS4 PRO (for my case) must provide a kind of mini USB extension cable male to female USB card for the CLS is too wide not pass between the edge of the PS4 PRO. I strongly advice you is I hope you helped her aurat.</v>
      </c>
    </row>
    <row r="3289">
      <c r="A3289" s="1">
        <v>2.0</v>
      </c>
      <c r="B3289" s="1" t="s">
        <v>3259</v>
      </c>
      <c r="C3289" t="str">
        <f>IFERROR(__xludf.DUMMYFUNCTION("GOOGLETRANSLATE(B3289, ""fr"", ""en"")"),"Disappointed After a few headphones use a longer works")</f>
        <v>Disappointed After a few headphones use a longer works</v>
      </c>
    </row>
    <row r="3290">
      <c r="A3290" s="1">
        <v>1.0</v>
      </c>
      <c r="B3290" s="1" t="s">
        <v>3260</v>
      </c>
      <c r="C3290" t="str">
        <f>IFERROR(__xludf.DUMMYFUNCTION("GOOGLETRANSLATE(B3290, ""fr"", ""en"")"),"Bluetooth connection problem I just got it but when I press the power button for 5 seconds, nothing happens. no bluetooth. I guess I should not use it well or should we wait until the load is complete ??")</f>
        <v>Bluetooth connection problem I just got it but when I press the power button for 5 seconds, nothing happens. no bluetooth. I guess I should not use it well or should we wait until the load is complete ??</v>
      </c>
    </row>
    <row r="3291">
      <c r="A3291" s="1">
        <v>1.0</v>
      </c>
      <c r="B3291" s="1" t="s">
        <v>3261</v>
      </c>
      <c r="C3291" t="str">
        <f>IFERROR(__xludf.DUMMYFUNCTION("GOOGLETRANSLATE(B3291, ""fr"", ""en"")"),"C c no size too small Chinese It must return to wait 2 months refund ... So go to the store, secu pumps are less class but at least what we want is to live ...")</f>
        <v>C c no size too small Chinese It must return to wait 2 months refund ... So go to the store, secu pumps are less class but at least what we want is to live ...</v>
      </c>
    </row>
    <row r="3292">
      <c r="A3292" s="1">
        <v>3.0</v>
      </c>
      <c r="B3292" s="1" t="s">
        <v>3262</v>
      </c>
      <c r="C3292" t="str">
        <f>IFERROR(__xludf.DUMMYFUNCTION("GOOGLETRANSLATE(B3292, ""fr"", ""en"")"),"we boys I bought this book for my son, this has answered some of his questions because it is always difficult to ask mom !!!")</f>
        <v>we boys I bought this book for my son, this has answered some of his questions because it is always difficult to ask mom !!!</v>
      </c>
    </row>
    <row r="3293">
      <c r="A3293" s="1">
        <v>4.0</v>
      </c>
      <c r="B3293" s="1" t="s">
        <v>224</v>
      </c>
      <c r="C3293" t="str">
        <f>IFERROR(__xludf.DUMMYFUNCTION("GOOGLETRANSLATE(B3293, ""fr"", ""en"")"),"perfect perfect")</f>
        <v>perfect perfect</v>
      </c>
    </row>
    <row r="3294">
      <c r="A3294" s="1">
        <v>4.0</v>
      </c>
      <c r="B3294" s="1" t="s">
        <v>3263</v>
      </c>
      <c r="C3294" t="str">
        <f>IFERROR(__xludf.DUMMYFUNCTION("GOOGLETRANSLATE(B3294, ""fr"", ""en"")"),"nice but a bit heavy on the wrist Do not squeeze the wrist but on a thin wrist, may seem a bit big. more appropriate to a man.")</f>
        <v>nice but a bit heavy on the wrist Do not squeeze the wrist but on a thin wrist, may seem a bit big. more appropriate to a man.</v>
      </c>
    </row>
    <row r="3295">
      <c r="A3295" s="1">
        <v>4.0</v>
      </c>
      <c r="B3295" s="1" t="s">
        <v>3264</v>
      </c>
      <c r="C3295" t="str">
        <f>IFERROR(__xludf.DUMMYFUNCTION("GOOGLETRANSLATE(B3295, ""fr"", ""en"")"),"Nipple. Top. Very good teats. My son only tolerates only one. A little wide in the mouth but suits him perfectly.")</f>
        <v>Nipple. Top. Very good teats. My son only tolerates only one. A little wide in the mouth but suits him perfectly.</v>
      </c>
    </row>
    <row r="3296">
      <c r="A3296" s="1">
        <v>4.0</v>
      </c>
      <c r="B3296" s="1" t="s">
        <v>3265</v>
      </c>
      <c r="C3296" t="str">
        <f>IFERROR(__xludf.DUMMYFUNCTION("GOOGLETRANSLATE(B3296, ""fr"", ""en"")"),"about 2 months of use, simple to set up The device comes complete with charging. Just open it to implement. Warning to follow the instructions. Personally I wear latex gloves to avoid contact. The drain plug lets you know when charging must be replaced. T"&amp;"he use is announced for 2 months. Obviously depending on the humidity of the workpiece.")</f>
        <v>about 2 months of use, simple to set up The device comes complete with charging. Just open it to implement. Warning to follow the instructions. Personally I wear latex gloves to avoid contact. The drain plug lets you know when charging must be replaced. The use is announced for 2 months. Obviously depending on the humidity of the workpiece.</v>
      </c>
    </row>
    <row r="3297">
      <c r="A3297" s="1">
        <v>5.0</v>
      </c>
      <c r="B3297" s="1" t="s">
        <v>3266</v>
      </c>
      <c r="C3297" t="str">
        <f>IFERROR(__xludf.DUMMYFUNCTION("GOOGLETRANSLATE(B3297, ""fr"", ""en"")"),"perfect for cereal with milk and soup Basically I bought these teats for milk thickened but beware the holes are too large it flows too fast! by cons I put them aside for later because it seem perfect for milk in cereal. For milk thickened I advise rather"&amp;" teats size 3 of the same brand is much more suitable.")</f>
        <v>perfect for cereal with milk and soup Basically I bought these teats for milk thickened but beware the holes are too large it flows too fast! by cons I put them aside for later because it seem perfect for milk in cereal. For milk thickened I advise rather teats size 3 of the same brand is much more suitable.</v>
      </c>
    </row>
    <row r="3298">
      <c r="A3298" s="1">
        <v>5.0</v>
      </c>
      <c r="B3298" s="1" t="s">
        <v>3267</v>
      </c>
      <c r="C3298" t="str">
        <f>IFERROR(__xludf.DUMMYFUNCTION("GOOGLETRANSLATE(B3298, ""fr"", ""en"")"),"SIZE beautiful shape for this very useful pocket leggings +")</f>
        <v>SIZE beautiful shape for this very useful pocket leggings +</v>
      </c>
    </row>
    <row r="3299">
      <c r="A3299" s="1">
        <v>5.0</v>
      </c>
      <c r="B3299" s="1" t="s">
        <v>3268</v>
      </c>
      <c r="C3299" t="str">
        <f>IFERROR(__xludf.DUMMYFUNCTION("GOOGLETRANSLATE(B3299, ""fr"", ""en"")"),"Super gorgeous Murano pretty !! I received immediately with the certificate of authenticity and I'm thrilled !! Like on the photo !! Excellent !!")</f>
        <v>Super gorgeous Murano pretty !! I received immediately with the certificate of authenticity and I'm thrilled !! Like on the photo !! Excellent !!</v>
      </c>
    </row>
    <row r="3300">
      <c r="A3300" s="1">
        <v>5.0</v>
      </c>
      <c r="B3300" s="1" t="s">
        <v>3269</v>
      </c>
      <c r="C3300" t="str">
        <f>IFERROR(__xludf.DUMMYFUNCTION("GOOGLETRANSLATE(B3300, ""fr"", ""en"")"),"Controlled size 45 received 48 .chercher discomfort Perfect workshop")</f>
        <v>Controlled size 45 received 48 .chercher discomfort Perfect workshop</v>
      </c>
    </row>
    <row r="3301">
      <c r="A3301" s="1">
        <v>5.0</v>
      </c>
      <c r="B3301" s="1" t="s">
        <v>3270</v>
      </c>
      <c r="C3301" t="str">
        <f>IFERROR(__xludf.DUMMYFUNCTION("GOOGLETRANSLATE(B3301, ""fr"", ""en"")"),"Very satisfied Very fast delivery and good product. It was to offer and that to much. I recommend")</f>
        <v>Very satisfied Very fast delivery and good product. It was to offer and that to much. I recommend</v>
      </c>
    </row>
    <row r="3302">
      <c r="A3302" s="1">
        <v>5.0</v>
      </c>
      <c r="B3302" s="1" t="s">
        <v>3271</v>
      </c>
      <c r="C3302" t="str">
        <f>IFERROR(__xludf.DUMMYFUNCTION("GOOGLETRANSLATE(B3302, ""fr"", ""en"")"),"Perfect size very good quality")</f>
        <v>Perfect size very good quality</v>
      </c>
    </row>
    <row r="3303">
      <c r="A3303" s="1">
        <v>5.0</v>
      </c>
      <c r="B3303" s="1" t="s">
        <v>3272</v>
      </c>
      <c r="C3303" t="str">
        <f>IFERROR(__xludf.DUMMYFUNCTION("GOOGLETRANSLATE(B3303, ""fr"", ""en"")"),"Very good quality super stable quality and stability")</f>
        <v>Very good quality super stable quality and stability</v>
      </c>
    </row>
    <row r="3304">
      <c r="A3304" s="1">
        <v>5.0</v>
      </c>
      <c r="B3304" s="1" t="s">
        <v>3273</v>
      </c>
      <c r="C3304" t="str">
        <f>IFERROR(__xludf.DUMMYFUNCTION("GOOGLETRANSLATE(B3304, ""fr"", ""en"")"),"Magnigique beautiful bracelets. Conforms to the photo. Individually packed. Too bad there was not a little pouch style gift included. Delivery respected. Everything is impeccable.")</f>
        <v>Magnigique beautiful bracelets. Conforms to the photo. Individually packed. Too bad there was not a little pouch style gift included. Delivery respected. Everything is impeccable.</v>
      </c>
    </row>
    <row r="3305">
      <c r="A3305" s="1">
        <v>5.0</v>
      </c>
      <c r="B3305" s="1" t="s">
        <v>3274</v>
      </c>
      <c r="C3305" t="str">
        <f>IFERROR(__xludf.DUMMYFUNCTION("GOOGLETRANSLATE(B3305, ""fr"", ""en"")"),"RAS delivery a bit long but it is notified. Ras at the product, works fine")</f>
        <v>RAS delivery a bit long but it is notified. Ras at the product, works fine</v>
      </c>
    </row>
    <row r="3306">
      <c r="A3306" s="1">
        <v>5.0</v>
      </c>
      <c r="B3306" s="1" t="s">
        <v>3275</v>
      </c>
      <c r="C3306" t="str">
        <f>IFERROR(__xludf.DUMMYFUNCTION("GOOGLETRANSLATE(B3306, ""fr"", ""en"")"),"Found 'place in my inner Delivery time Easy to use and very pretty")</f>
        <v>Found 'place in my inner Delivery time Easy to use and very pretty</v>
      </c>
    </row>
    <row r="3307">
      <c r="A3307" s="1">
        <v>5.0</v>
      </c>
      <c r="B3307" s="1" t="s">
        <v>3276</v>
      </c>
      <c r="C3307" t="str">
        <f>IFERROR(__xludf.DUMMYFUNCTION("GOOGLETRANSLATE(B3307, ""fr"", ""en"")"),"long sleeve proceeds received before the expected date very good material, soft to wear, fit to my size, very satisfied with my purchase I recommend")</f>
        <v>long sleeve proceeds received before the expected date very good material, soft to wear, fit to my size, very satisfied with my purchase I recommend</v>
      </c>
    </row>
    <row r="3308">
      <c r="A3308" s="1">
        <v>5.0</v>
      </c>
      <c r="B3308" s="1" t="s">
        <v>3277</v>
      </c>
      <c r="C3308" t="str">
        <f>IFERROR(__xludf.DUMMYFUNCTION("GOOGLETRANSLATE(B3308, ""fr"", ""en"")"),"Nothing to say Set of 4 cartridges for printers. Cartridges ""&amp; nbsp; &amp; nbsp manufacturers,"" so no surprise. Everything works. Quality and reliability HP signed ... All is well!")</f>
        <v>Nothing to say Set of 4 cartridges for printers. Cartridges "&amp; nbsp; &amp; nbsp manufacturers," so no surprise. Everything works. Quality and reliability HP signed ... All is well!</v>
      </c>
    </row>
    <row r="3309">
      <c r="A3309" s="1">
        <v>5.0</v>
      </c>
      <c r="B3309" s="1" t="s">
        <v>3278</v>
      </c>
      <c r="C3309" t="str">
        <f>IFERROR(__xludf.DUMMYFUNCTION("GOOGLETRANSLATE(B3309, ""fr"", ""en"")"),"Super Super bag. This is exactly the bag I wanted. Consistent with the description")</f>
        <v>Super Super bag. This is exactly the bag I wanted. Consistent with the description</v>
      </c>
    </row>
    <row r="3310">
      <c r="A3310" s="1">
        <v>5.0</v>
      </c>
      <c r="B3310" s="1" t="s">
        <v>3279</v>
      </c>
      <c r="C3310" t="str">
        <f>IFERROR(__xludf.DUMMYFUNCTION("GOOGLETRANSLATE(B3310, ""fr"", ""en"")"),"Awesome Really great Ideal for sports wireless very compact perfect for weight training and running I love this I would 100 percent")</f>
        <v>Awesome Really great Ideal for sports wireless very compact perfect for weight training and running I love this I would 100 percent</v>
      </c>
    </row>
    <row r="3311">
      <c r="A3311" s="1">
        <v>5.0</v>
      </c>
      <c r="B3311" s="1" t="s">
        <v>3280</v>
      </c>
      <c r="C3311" t="str">
        <f>IFERROR(__xludf.DUMMYFUNCTION("GOOGLETRANSLATE(B3311, ""fr"", ""en"")"),"Very good mic with a good range of his! I was looking for a micro for children that is wireless and can directly transmit sound without amp. I must say I was amazed enough product that sends sound through the 4 sides of the microphone. It goes so hard tha"&amp;"t I have the time to ask my child to decrease the sound. This microphone can also be helpful to talk to a lot of people being given range. It is well built and even has an ""echo"" mode which can be useful. Having to leave press the on button is off longe"&amp;"r remains interesting way to avoid incorrect operation. My only criticism is that I would have preferred to have a black model most everywhere that a pink more dedicated to children or to a female audience. it's still a great product value!")</f>
        <v>Very good mic with a good range of his! I was looking for a micro for children that is wireless and can directly transmit sound without amp. I must say I was amazed enough product that sends sound through the 4 sides of the microphone. It goes so hard that I have the time to ask my child to decrease the sound. This microphone can also be helpful to talk to a lot of people being given range. It is well built and even has an "echo" mode which can be useful. Having to leave press the on button is off longer remains interesting way to avoid incorrect operation. My only criticism is that I would have preferred to have a black model most everywhere that a pink more dedicated to children or to a female audience. it's still a great product value!</v>
      </c>
    </row>
    <row r="3312">
      <c r="A3312" s="1">
        <v>2.0</v>
      </c>
      <c r="B3312" s="1" t="s">
        <v>3281</v>
      </c>
      <c r="C3312" t="str">
        <f>IFERROR(__xludf.DUMMYFUNCTION("GOOGLETRANSLATE(B3312, ""fr"", ""en"")"),"Nothing I was wrong")</f>
        <v>Nothing I was wrong</v>
      </c>
    </row>
    <row r="3313">
      <c r="A3313" s="1">
        <v>1.0</v>
      </c>
      <c r="B3313" s="1" t="s">
        <v>3282</v>
      </c>
      <c r="C3313" t="str">
        <f>IFERROR(__xludf.DUMMYFUNCTION("GOOGLETRANSLATE(B3313, ""fr"", ""en"")"),"poor quality shoes I use it in time carpenter shop and I had to have a fake because the quality shoe that his break at the sole she really are not made for walking support I do not recommend this purchase")</f>
        <v>poor quality shoes I use it in time carpenter shop and I had to have a fake because the quality shoe that his break at the sole she really are not made for walking support I do not recommend this purchase</v>
      </c>
    </row>
    <row r="3314">
      <c r="A3314" s="1">
        <v>3.0</v>
      </c>
      <c r="B3314" s="1" t="s">
        <v>3283</v>
      </c>
      <c r="C3314" t="str">
        <f>IFERROR(__xludf.DUMMYFUNCTION("GOOGLETRANSLATE(B3314, ""fr"", ""en"")"),"Middle I find that the brush is too small hair and shed hair is not great ... not high quality I find ...")</f>
        <v>Middle I find that the brush is too small hair and shed hair is not great ... not high quality I find ...</v>
      </c>
    </row>
    <row r="3315">
      <c r="A3315" s="1">
        <v>3.0</v>
      </c>
      <c r="B3315" s="1" t="s">
        <v>3284</v>
      </c>
      <c r="C3315" t="str">
        <f>IFERROR(__xludf.DUMMYFUNCTION("GOOGLETRANSLATE(B3315, ""fr"", ""en"")"),"Almost perfect The appearance of the bag is very beautiful. It seems solid, the future will tell if this is the case. It is great with four outer pockets which is really convenient. By cons, I am disappointed because the second pouch (the one at the back "&amp;"of the bag is too small for a PC 15.6 ""(and probably for a 15"" too), the other is pretty but I was hoping to put the computer in the other.")</f>
        <v>Almost perfect The appearance of the bag is very beautiful. It seems solid, the future will tell if this is the case. It is great with four outer pockets which is really convenient. By cons, I am disappointed because the second pouch (the one at the back of the bag is too small for a PC 15.6 "(and probably for a 15" too), the other is pretty but I was hoping to put the computer in the other.</v>
      </c>
    </row>
    <row r="3316">
      <c r="A3316" s="1">
        <v>4.0</v>
      </c>
      <c r="B3316" s="1" t="s">
        <v>3285</v>
      </c>
      <c r="C3316" t="str">
        <f>IFERROR(__xludf.DUMMYFUNCTION("GOOGLETRANSLATE(B3316, ""fr"", ""en"")"),"Meets Black pack and practical color, still a bit expensive for consumables")</f>
        <v>Meets Black pack and practical color, still a bit expensive for consumables</v>
      </c>
    </row>
    <row r="3317">
      <c r="A3317" s="1">
        <v>4.0</v>
      </c>
      <c r="B3317" s="1" t="s">
        <v>3286</v>
      </c>
      <c r="C3317" t="str">
        <f>IFERROR(__xludf.DUMMYFUNCTION("GOOGLETRANSLATE(B3317, ""fr"", ""en"")"),"invicta watch very nice watch very good quality a true automatic watch for the price I advise a lot very beautiful purchase it looks a lot like a big Swiss luxury brand")</f>
        <v>invicta watch very nice watch very good quality a true automatic watch for the price I advise a lot very beautiful purchase it looks a lot like a big Swiss luxury brand</v>
      </c>
    </row>
    <row r="3318">
      <c r="A3318" s="1">
        <v>4.0</v>
      </c>
      <c r="B3318" s="1" t="s">
        <v>3287</v>
      </c>
      <c r="C3318" t="str">
        <f>IFERROR(__xludf.DUMMYFUNCTION("GOOGLETRANSLATE(B3318, ""fr"", ""en"")"),"Barbs unsuitable! Beautiful leather bracelet but the metal barbs present in the bracelet were too short and did not allow the strap to hold. So I had to remove it took me some time and I put suitable barbs. This is not normal and I almost return this prod"&amp;"uct!")</f>
        <v>Barbs unsuitable! Beautiful leather bracelet but the metal barbs present in the bracelet were too short and did not allow the strap to hold. So I had to remove it took me some time and I put suitable barbs. This is not normal and I almost return this product!</v>
      </c>
    </row>
    <row r="3319">
      <c r="A3319" s="1">
        <v>4.0</v>
      </c>
      <c r="B3319" s="1" t="s">
        <v>3288</v>
      </c>
      <c r="C3319" t="str">
        <f>IFERROR(__xludf.DUMMYFUNCTION("GOOGLETRANSLATE(B3319, ""fr"", ""en"")"),"I love I'm completely a fan !! I find her very pretty, practical, I can put my bottles and nipple in peace. I recommand it")</f>
        <v>I love I'm completely a fan !! I find her very pretty, practical, I can put my bottles and nipple in peace. I recommand it</v>
      </c>
    </row>
    <row r="3320">
      <c r="A3320" s="1">
        <v>4.0</v>
      </c>
      <c r="B3320" s="1" t="s">
        <v>3289</v>
      </c>
      <c r="C3320" t="str">
        <f>IFERROR(__xludf.DUMMYFUNCTION("GOOGLETRANSLATE(B3320, ""fr"", ""en"")"),"Working properly No problem, received quickly, working properly. But I found that charging really emptied quickly. It lasted only two weeks and I would say I have not written it as (corrected copies ...)")</f>
        <v>Working properly No problem, received quickly, working properly. But I found that charging really emptied quickly. It lasted only two weeks and I would say I have not written it as (corrected copies ...)</v>
      </c>
    </row>
    <row r="3321">
      <c r="A3321" s="1">
        <v>5.0</v>
      </c>
      <c r="B3321" s="1" t="s">
        <v>3290</v>
      </c>
      <c r="C3321" t="str">
        <f>IFERROR(__xludf.DUMMYFUNCTION("GOOGLETRANSLATE(B3321, ""fr"", ""en"")"),"These impeccable polo shirts have a very good presentation. They seem to be of very good quality and good performance. They go very well in machine without risk of degradation or discoloration")</f>
        <v>These impeccable polo shirts have a very good presentation. They seem to be of very good quality and good performance. They go very well in machine without risk of degradation or discoloration</v>
      </c>
    </row>
    <row r="3322">
      <c r="A3322" s="1">
        <v>5.0</v>
      </c>
      <c r="B3322" s="1" t="s">
        <v>3291</v>
      </c>
      <c r="C3322" t="str">
        <f>IFERROR(__xludf.DUMMYFUNCTION("GOOGLETRANSLATE(B3322, ""fr"", ""en"")"),"Excellent essential oil! I no longer perfect pass me to cleanse your skin smooth everyday. I mixed with jojoba oil and it gives me an incredible facial serum!")</f>
        <v>Excellent essential oil! I no longer perfect pass me to cleanse your skin smooth everyday. I mixed with jojoba oil and it gives me an incredible facial serum!</v>
      </c>
    </row>
    <row r="3323">
      <c r="A3323" s="1">
        <v>5.0</v>
      </c>
      <c r="B3323" s="1" t="s">
        <v>3292</v>
      </c>
      <c r="C3323" t="str">
        <f>IFERROR(__xludf.DUMMYFUNCTION("GOOGLETRANSLATE(B3323, ""fr"", ""en"")"),"Ideal My son is diabetic and takes its necessary every day with him, this bag contains everything you need to survive is his second skin. He had exactly the same gray, it took him 3 years, until the zipper is showing signs of weakness. 3 years is very goo"&amp;"d for such intensive use. Additionally, he cut in machine at 30 degrees (with daily use, it must be done regularly). His predecessors were less solid, so we will now stay true to Eastpak. I like the 3 compartments, in order to separate what is medical, wh"&amp;"ich is food (to sweeten) and personal belongings (keys, papers, phone). For us it is THE ideal model.")</f>
        <v>Ideal My son is diabetic and takes its necessary every day with him, this bag contains everything you need to survive is his second skin. He had exactly the same gray, it took him 3 years, until the zipper is showing signs of weakness. 3 years is very good for such intensive use. Additionally, he cut in machine at 30 degrees (with daily use, it must be done regularly). His predecessors were less solid, so we will now stay true to Eastpak. I like the 3 compartments, in order to separate what is medical, which is food (to sweeten) and personal belongings (keys, papers, phone). For us it is THE ideal model.</v>
      </c>
    </row>
    <row r="3324">
      <c r="A3324" s="1">
        <v>5.0</v>
      </c>
      <c r="B3324" s="1" t="s">
        <v>3293</v>
      </c>
      <c r="C3324" t="str">
        <f>IFERROR(__xludf.DUMMYFUNCTION("GOOGLETRANSLATE(B3324, ""fr"", ""en"")"),"A great word ""Top""")</f>
        <v>A great word "Top"</v>
      </c>
    </row>
    <row r="3325">
      <c r="A3325" s="1">
        <v>5.0</v>
      </c>
      <c r="B3325" s="1" t="s">
        <v>3294</v>
      </c>
      <c r="C3325" t="str">
        <f>IFERROR(__xludf.DUMMYFUNCTION("GOOGLETRANSLATE(B3325, ""fr"", ""en"")"),"stylish trousers Pretty size and length trousers nickel. He class.")</f>
        <v>stylish trousers Pretty size and length trousers nickel. He class.</v>
      </c>
    </row>
    <row r="3326">
      <c r="A3326" s="1">
        <v>5.0</v>
      </c>
      <c r="B3326" s="1" t="s">
        <v>3295</v>
      </c>
      <c r="C3326" t="str">
        <f>IFERROR(__xludf.DUMMYFUNCTION("GOOGLETRANSLATE(B3326, ""fr"", ""en"")"),"Good sound quality for its price These headphones have good sound quality and are handy with their small size. I do not use them for sport for fear of dropping them.")</f>
        <v>Good sound quality for its price These headphones have good sound quality and are handy with their small size. I do not use them for sport for fear of dropping them.</v>
      </c>
    </row>
    <row r="3327">
      <c r="A3327" s="1">
        <v>5.0</v>
      </c>
      <c r="B3327" s="1" t="s">
        <v>3296</v>
      </c>
      <c r="C3327" t="str">
        <f>IFERROR(__xludf.DUMMYFUNCTION("GOOGLETRANSLATE(B3327, ""fr"", ""en"")"),"Piercing nickel Very happy with my purchase I was looking for a piercing as and affordable I am thrilled")</f>
        <v>Piercing nickel Very happy with my purchase I was looking for a piercing as and affordable I am thrilled</v>
      </c>
    </row>
    <row r="3328">
      <c r="A3328" s="1">
        <v>5.0</v>
      </c>
      <c r="B3328" s="1" t="s">
        <v>3297</v>
      </c>
      <c r="C3328" t="str">
        <f>IFERROR(__xludf.DUMMYFUNCTION("GOOGLETRANSLATE(B3328, ""fr"", ""en"")"),"Super Fast Shipping, comfortable shoes, cut well")</f>
        <v>Super Fast Shipping, comfortable shoes, cut well</v>
      </c>
    </row>
    <row r="3329">
      <c r="A3329" s="1">
        <v>5.0</v>
      </c>
      <c r="B3329" s="1" t="s">
        <v>3298</v>
      </c>
      <c r="C3329" t="str">
        <f>IFERROR(__xludf.DUMMYFUNCTION("GOOGLETRANSLATE(B3329, ""fr"", ""en"")"),"Impeccable Very good product like all Faber-Csatell, practical and comprehensive package. Using perfect for drawing. Corresponds completely to the needs of my daughter.")</f>
        <v>Impeccable Very good product like all Faber-Csatell, practical and comprehensive package. Using perfect for drawing. Corresponds completely to the needs of my daughter.</v>
      </c>
    </row>
    <row r="3330">
      <c r="A3330" s="1">
        <v>5.0</v>
      </c>
      <c r="B3330" s="1" t="s">
        <v>3299</v>
      </c>
      <c r="C3330" t="str">
        <f>IFERROR(__xludf.DUMMYFUNCTION("GOOGLETRANSLATE(B3330, ""fr"", ""en"")"),"great for winter slippers for the house cooler to walk it's great!")</f>
        <v>great for winter slippers for the house cooler to walk it's great!</v>
      </c>
    </row>
    <row r="3331">
      <c r="A3331" s="1">
        <v>5.0</v>
      </c>
      <c r="B3331" s="1" t="s">
        <v>3300</v>
      </c>
      <c r="C3331" t="str">
        <f>IFERROR(__xludf.DUMMYFUNCTION("GOOGLETRANSLATE(B3331, ""fr"", ""en"")"),"Super helmet headset with good sound quality, smooth and beautiful lines, I dropped the helmet since I had that helmet.")</f>
        <v>Super helmet headset with good sound quality, smooth and beautiful lines, I dropped the helmet since I had that helmet.</v>
      </c>
    </row>
    <row r="3332">
      <c r="A3332" s="1">
        <v>5.0</v>
      </c>
      <c r="B3332" s="1" t="s">
        <v>3301</v>
      </c>
      <c r="C3332" t="str">
        <f>IFERROR(__xludf.DUMMYFUNCTION("GOOGLETRANSLATE(B3332, ""fr"", ""en"")"),"Okay to connect my unit Platinum 70s, old platinum and old tape drive, thanks to this cable cheap, everything works IN HAIR, the sound is clean and no crackling")</f>
        <v>Okay to connect my unit Platinum 70s, old platinum and old tape drive, thanks to this cable cheap, everything works IN HAIR, the sound is clean and no crackling</v>
      </c>
    </row>
    <row r="3333">
      <c r="A3333" s="1">
        <v>5.0</v>
      </c>
      <c r="B3333" s="1" t="s">
        <v>3302</v>
      </c>
      <c r="C3333" t="str">
        <f>IFERROR(__xludf.DUMMYFUNCTION("GOOGLETRANSLATE(B3333, ""fr"", ""en"")"),"For use on all parts of the body mass all areas of the body while the ""heads"" of massage are rather aimed at the head. There are two speeds that can adapt to different needs. The device is not heavy and not imposing, which makes it very handy. It's not "&amp;"bad to relax muscles after sports (calves home after jogging). Charging takes a long time, after a week it is not yet discharged my children use it regularly.")</f>
        <v>For use on all parts of the body mass all areas of the body while the "heads" of massage are rather aimed at the head. There are two speeds that can adapt to different needs. The device is not heavy and not imposing, which makes it very handy. It's not bad to relax muscles after sports (calves home after jogging). Charging takes a long time, after a week it is not yet discharged my children use it regularly.</v>
      </c>
    </row>
    <row r="3334">
      <c r="A3334" s="1">
        <v>5.0</v>
      </c>
      <c r="B3334" s="1" t="s">
        <v>3303</v>
      </c>
      <c r="C3334" t="str">
        <f>IFERROR(__xludf.DUMMYFUNCTION("GOOGLETRANSLATE(B3334, ""fr"", ""en"")"),"If Dictaphone will surprise you Hello J bought Dictaphone is for taking notes and replay of training I am pleasantly surprised by its very small dimensions (see photo next to a pen to give you an idea) Very easy to use Service - record button - and volume"&amp;" + - - menu - avence and return it is turned off during the silences and automatically resumes that it detects noise on day courses he recorded 4 hours without any problems or battery outage ( see photo) the sound is clear in a classroom of 40 m2 with abo"&amp;"ut 30 people my pC under Windows 10 recognized the voice recorder without problems and you have easy access to the audio file (see picture) Please tell me if my comment was helpful you for your choice")</f>
        <v>If Dictaphone will surprise you Hello J bought Dictaphone is for taking notes and replay of training I am pleasantly surprised by its very small dimensions (see photo next to a pen to give you an idea) Very easy to use Service - record button - and volume + - - menu - avence and return it is turned off during the silences and automatically resumes that it detects noise on day courses he recorded 4 hours without any problems or battery outage ( see photo) the sound is clear in a classroom of 40 m2 with about 30 people my pC under Windows 10 recognized the voice recorder without problems and you have easy access to the audio file (see picture) Please tell me if my comment was helpful you for your choice</v>
      </c>
    </row>
    <row r="3335">
      <c r="A3335" s="1">
        <v>5.0</v>
      </c>
      <c r="B3335" s="1" t="s">
        <v>3304</v>
      </c>
      <c r="C3335" t="str">
        <f>IFERROR(__xludf.DUMMYFUNCTION("GOOGLETRANSLATE(B3335, ""fr"", ""en"")"),"... Perfect Pair of sneakers leather, perfect for use all day ... (see description / translation silly: ""sneakers down the neck"" !!!")</f>
        <v>... Perfect Pair of sneakers leather, perfect for use all day ... (see description / translation silly: "sneakers down the neck" !!!</v>
      </c>
    </row>
    <row r="3336">
      <c r="A3336" s="1">
        <v>2.0</v>
      </c>
      <c r="B3336" s="1" t="s">
        <v>3305</v>
      </c>
      <c r="C3336" t="str">
        <f>IFERROR(__xludf.DUMMYFUNCTION("GOOGLETRANSLATE(B3336, ""fr"", ""en"")"),"same type of model for men and women? ... This model size large enough. I think I have only to put the soles! This is an adult model I bought for my son, so far I have not seen any difference following the predestined models, are usually the same shoes fo"&amp;"r men and women ... No?")</f>
        <v>same type of model for men and women? ... This model size large enough. I think I have only to put the soles! This is an adult model I bought for my son, so far I have not seen any difference following the predestined models, are usually the same shoes for men and women ... No?</v>
      </c>
    </row>
    <row r="3337">
      <c r="A3337" s="1">
        <v>1.0</v>
      </c>
      <c r="B3337" s="1" t="s">
        <v>3306</v>
      </c>
      <c r="C3337" t="str">
        <f>IFERROR(__xludf.DUMMYFUNCTION("GOOGLETRANSLATE(B3337, ""fr"", ""en"")"),"listening and problem extended size headphones Very sore eardrums! Reducing noise created as a présurisation in the ear that did not allow me to keep the helmet over an hour without suffering.")</f>
        <v>listening and problem extended size headphones Very sore eardrums! Reducing noise created as a présurisation in the ear that did not allow me to keep the helmet over an hour without suffering.</v>
      </c>
    </row>
    <row r="3338">
      <c r="A3338" s="1">
        <v>1.0</v>
      </c>
      <c r="B3338" s="1" t="s">
        <v>3307</v>
      </c>
      <c r="C3338" t="str">
        <f>IFERROR(__xludf.DUMMYFUNCTION("GOOGLETRANSLATE(B3338, ""fr"", ""en"")"),"incredible dismal quality, carnations are so bad, that the laces only last 15 days ...... they are torn, and of course impossible to find identical laces, we oblibé d buy NoNAMES has color hazardous .... I'm not talking about the sole, non-existent in thi"&amp;"ckness and which wears a great speed even a childhood memory that goes !! disappointed!")</f>
        <v>incredible dismal quality, carnations are so bad, that the laces only last 15 days ...... they are torn, and of course impossible to find identical laces, we oblibé d buy NoNAMES has color hazardous .... I'm not talking about the sole, non-existent in thickness and which wears a great speed even a childhood memory that goes !! disappointed!</v>
      </c>
    </row>
    <row r="3339">
      <c r="A3339" s="1">
        <v>3.0</v>
      </c>
      <c r="B3339" s="1" t="s">
        <v>3308</v>
      </c>
      <c r="C3339" t="str">
        <f>IFERROR(__xludf.DUMMYFUNCTION("GOOGLETRANSLATE(B3339, ""fr"", ""en"")"),"Done the job but with flaws For several months I use this sterilizer. At the opening, we realize that it is large enough, and the locations for storing bottles and teats are sufficient. It fits easily into a corner and this is useful because with a baby w"&amp;"e need space! For using, it is simple, put some tap water in the base down, fill the bottle sterilizer and nipples and press the button. It takes about 7-8 min. I come to defects, when the cycle is finished, bottles and teats are wet, this is normal but i"&amp;"t takes forever to dry ... The bottom base to put the water to rust after a .. time (or photo)")</f>
        <v>Done the job but with flaws For several months I use this sterilizer. At the opening, we realize that it is large enough, and the locations for storing bottles and teats are sufficient. It fits easily into a corner and this is useful because with a baby we need space! For using, it is simple, put some tap water in the base down, fill the bottle sterilizer and nipples and press the button. It takes about 7-8 min. I come to defects, when the cycle is finished, bottles and teats are wet, this is normal but it takes forever to dry ... The bottom base to put the water to rust after a .. time (or photo)</v>
      </c>
    </row>
    <row r="3340">
      <c r="A3340" s="1">
        <v>3.0</v>
      </c>
      <c r="B3340" s="1" t="s">
        <v>3309</v>
      </c>
      <c r="C3340" t="str">
        <f>IFERROR(__xludf.DUMMYFUNCTION("GOOGLETRANSLATE(B3340, ""fr"", ""en"")"),"Quality very good but totally misleading weight announced! This product is in the average of those tried, especially at this price and deserves 4 or 5 stars .. Before buying one of the only common criteria between brands, from the color, could be the weig"&amp;"ht. Unfortunately, it is incorrect, and this is true of other roller sets and other brands. Announced (to date) to 3.3kg, the packet actually weighs 1.8kg ... As is the wrong way, it's very penalizing for products that display actual values! I pointed to "&amp;"Amazon but the correction usually takes several months.")</f>
        <v>Quality very good but totally misleading weight announced! This product is in the average of those tried, especially at this price and deserves 4 or 5 stars .. Before buying one of the only common criteria between brands, from the color, could be the weight. Unfortunately, it is incorrect, and this is true of other roller sets and other brands. Announced (to date) to 3.3kg, the packet actually weighs 1.8kg ... As is the wrong way, it's very penalizing for products that display actual values! I pointed to Amazon but the correction usually takes several months.</v>
      </c>
    </row>
    <row r="3341">
      <c r="A3341" s="1">
        <v>4.0</v>
      </c>
      <c r="B3341" s="1" t="s">
        <v>3310</v>
      </c>
      <c r="C3341" t="str">
        <f>IFERROR(__xludf.DUMMYFUNCTION("GOOGLETRANSLATE(B3341, ""fr"", ""en"")"),"she likes my wife loves this great series that we have in him Commender to man but like my wife, but in 48 I thank you because for me commenderai")</f>
        <v>she likes my wife loves this great series that we have in him Commender to man but like my wife, but in 48 I thank you because for me commenderai</v>
      </c>
    </row>
    <row r="3342">
      <c r="A3342" s="1">
        <v>4.0</v>
      </c>
      <c r="B3342" s="1" t="s">
        <v>3311</v>
      </c>
      <c r="C3342" t="str">
        <f>IFERROR(__xludf.DUMMYFUNCTION("GOOGLETRANSLATE(B3342, ""fr"", ""en"")"),"50 A4 white paper adhesive sheets Delivery was fast. The adhesive sheets are for my taste a little thin. Otherwise they glues well currently.")</f>
        <v>50 A4 white paper adhesive sheets Delivery was fast. The adhesive sheets are for my taste a little thin. Otherwise they glues well currently.</v>
      </c>
    </row>
    <row r="3343">
      <c r="A3343" s="1">
        <v>4.0</v>
      </c>
      <c r="B3343" s="1" t="s">
        <v>3312</v>
      </c>
      <c r="C3343" t="str">
        <f>IFERROR(__xludf.DUMMYFUNCTION("GOOGLETRANSLATE(B3343, ""fr"", ""en"")"),"Good quality product in accordance with the picture. Very good quality and very comfortable !! Take your shoe size because according to other comments that small size but not at all")</f>
        <v>Good quality product in accordance with the picture. Very good quality and very comfortable !! Take your shoe size because according to other comments that small size but not at all</v>
      </c>
    </row>
    <row r="3344">
      <c r="A3344" s="1">
        <v>4.0</v>
      </c>
      <c r="B3344" s="1" t="s">
        <v>3313</v>
      </c>
      <c r="C3344" t="str">
        <f>IFERROR(__xludf.DUMMYFUNCTION("GOOGLETRANSLATE(B3344, ""fr"", ""en"")"),"Perfect for boys watch ideal for the wrist of a boy of 10 years. In addition to multiple details and additional function, it has everything to please them. But for a man, I think she would be too small.")</f>
        <v>Perfect for boys watch ideal for the wrist of a boy of 10 years. In addition to multiple details and additional function, it has everything to please them. But for a man, I think she would be too small.</v>
      </c>
    </row>
    <row r="3345">
      <c r="A3345" s="1">
        <v>5.0</v>
      </c>
      <c r="B3345" s="1" t="s">
        <v>3314</v>
      </c>
      <c r="C3345" t="str">
        <f>IFERROR(__xludf.DUMMYFUNCTION("GOOGLETRANSLATE(B3345, ""fr"", ""en"")"),"SUPER What about those loafers? They have a perfect fit, have sufficiently robust air and look to you to judge!")</f>
        <v>SUPER What about those loafers? They have a perfect fit, have sufficiently robust air and look to you to judge!</v>
      </c>
    </row>
    <row r="3346">
      <c r="A3346" s="1">
        <v>5.0</v>
      </c>
      <c r="B3346" s="1" t="s">
        <v>3315</v>
      </c>
      <c r="C3346" t="str">
        <f>IFERROR(__xludf.DUMMYFUNCTION("GOOGLETRANSLATE(B3346, ""fr"", ""en"")"),"Good quality / price The design of the helmet and magnificent gold rose, the headset battery holds a terrific bluetooth. Small problem means an ultra light his background, but this is not very troublesome.")</f>
        <v>Good quality / price The design of the helmet and magnificent gold rose, the headset battery holds a terrific bluetooth. Small problem means an ultra light his background, but this is not very troublesome.</v>
      </c>
    </row>
    <row r="3347">
      <c r="A3347" s="1">
        <v>5.0</v>
      </c>
      <c r="B3347" s="1" t="s">
        <v>3316</v>
      </c>
      <c r="C3347" t="str">
        <f>IFERROR(__xludf.DUMMYFUNCTION("GOOGLETRANSLATE(B3347, ""fr"", ""en"")"),"F &amp; amp; g They not please me at all")</f>
        <v>F &amp; amp; g They not please me at all</v>
      </c>
    </row>
    <row r="3348">
      <c r="A3348" s="1">
        <v>5.0</v>
      </c>
      <c r="B3348" s="1" t="s">
        <v>3317</v>
      </c>
      <c r="C3348" t="str">
        <f>IFERROR(__xludf.DUMMYFUNCTION("GOOGLETRANSLATE(B3348, ""fr"", ""en"")"),"Efficient and stable Good bluetooth earphone to move and listen to music while playing sports such or kitchen without being tethered by a wire. The sound is good but lacks bass for my taste. The Bluetooth connection with another device is almost immediate"&amp;": just go to the Bluetooth settings to make the camera transmitter ""visible to all"" then comes the headphones from their box while remaining close to the transmitter apparatus, play a movie or music and the connection is made. Headphones keep in memory "&amp;"the last connected device. Also we can not connect the right speaker (R) or left (L). They are lightweight and I have no problem to support them without losing them during my activities whatsoever. Please do not press it to adjust in your ears because the"&amp;" entire surface is touch and you could raise the sound by that. Just holding the handle on the sides. Good! There is a manual comes with but basically for dyslexic 😂 and Jean-Claude Vandamme 🤣🤣: _1 long-tap (2 or 3 seconds) to enable or disable the Goo"&amp;"gle voice control assistant. _Two short taps to pause or re-read mode. _1 short tap on the right to raise. _1 short tap on the Left to decrease. _3 taps on the Right to _3 taps following the precedent for Left The first day, we train a bit, but the next d"&amp;"ay we swim like a fish in water. It works perfectly well, for now: nothing.")</f>
        <v>Efficient and stable Good bluetooth earphone to move and listen to music while playing sports such or kitchen without being tethered by a wire. The sound is good but lacks bass for my taste. The Bluetooth connection with another device is almost immediate: just go to the Bluetooth settings to make the camera transmitter "visible to all" then comes the headphones from their box while remaining close to the transmitter apparatus, play a movie or music and the connection is made. Headphones keep in memory the last connected device. Also we can not connect the right speaker (R) or left (L). They are lightweight and I have no problem to support them without losing them during my activities whatsoever. Please do not press it to adjust in your ears because the entire surface is touch and you could raise the sound by that. Just holding the handle on the sides. Good! There is a manual comes with but basically for dyslexic 😂 and Jean-Claude Vandamme 🤣🤣: _1 long-tap (2 or 3 seconds) to enable or disable the Google voice control assistant. _Two short taps to pause or re-read mode. _1 short tap on the right to raise. _1 short tap on the Left to decrease. _3 taps on the Right to _3 taps following the precedent for Left The first day, we train a bit, but the next day we swim like a fish in water. It works perfectly well, for now: nothing.</v>
      </c>
    </row>
    <row r="3349">
      <c r="A3349" s="1">
        <v>5.0</v>
      </c>
      <c r="B3349" s="1" t="s">
        <v>3318</v>
      </c>
      <c r="C3349" t="str">
        <f>IFERROR(__xludf.DUMMYFUNCTION("GOOGLETRANSLATE(B3349, ""fr"", ""en"")"),"The colors that change with the light A gift")</f>
        <v>The colors that change with the light A gift</v>
      </c>
    </row>
    <row r="3350">
      <c r="A3350" s="1">
        <v>5.0</v>
      </c>
      <c r="B3350" s="1" t="s">
        <v>3319</v>
      </c>
      <c r="C3350" t="str">
        <f>IFERROR(__xludf.DUMMYFUNCTION("GOOGLETRANSLATE(B3350, ""fr"", ""en"")"),"great value for great Value for money I was bought to run with my dog ​​and after months has run in the mud stones snow ... no problem in perfect condition without taking special care comfort level to the top cushioning")</f>
        <v>great value for great Value for money I was bought to run with my dog ​​and after months has run in the mud stones snow ... no problem in perfect condition without taking special care comfort level to the top cushioning</v>
      </c>
    </row>
    <row r="3351">
      <c r="A3351" s="1">
        <v>5.0</v>
      </c>
      <c r="B3351" s="1" t="s">
        <v>3320</v>
      </c>
      <c r="C3351" t="str">
        <f>IFERROR(__xludf.DUMMYFUNCTION("GOOGLETRANSLATE(B3351, ""fr"", ""en"")"),"Easy to clean and large We take the quality of MAM bottles for our daughter who no longer needs anti colic bottle and drinks larger bottles. The designs are beautiful, always as easy cleaning, top quality.")</f>
        <v>Easy to clean and large We take the quality of MAM bottles for our daughter who no longer needs anti colic bottle and drinks larger bottles. The designs are beautiful, always as easy cleaning, top quality.</v>
      </c>
    </row>
    <row r="3352">
      <c r="A3352" s="1">
        <v>5.0</v>
      </c>
      <c r="B3352" s="1" t="s">
        <v>3321</v>
      </c>
      <c r="C3352" t="str">
        <f>IFERROR(__xludf.DUMMYFUNCTION("GOOGLETRANSLATE(B3352, ""fr"", ""en"")"),"🌟 Sound and Light 🌟 My son asked me for a while to change his old clock radio red screen, you know the good old alarm clock ... Visually, this one looking good I let me try! And I'm happy with my purchase! The speaker is really a great quality, ambient "&amp;"light Comtoir is top notch, and I did not think that radio was Rds! Search automatic channels with programming recording function and even sleep with melodies to sleep !! Really too happy my son is the angel and he looks forward to using it in September!")</f>
        <v>🌟 Sound and Light 🌟 My son asked me for a while to change his old clock radio red screen, you know the good old alarm clock ... Visually, this one looking good I let me try! And I'm happy with my purchase! The speaker is really a great quality, ambient light Comtoir is top notch, and I did not think that radio was Rds! Search automatic channels with programming recording function and even sleep with melodies to sleep !! Really too happy my son is the angel and he looks forward to using it in September!</v>
      </c>
    </row>
    <row r="3353">
      <c r="A3353" s="1">
        <v>5.0</v>
      </c>
      <c r="B3353" s="1" t="s">
        <v>3322</v>
      </c>
      <c r="C3353" t="str">
        <f>IFERROR(__xludf.DUMMYFUNCTION("GOOGLETRANSLATE(B3353, ""fr"", ""en"")"),"Bluetooth headphones I bought this product for listening to music while practicing running and mountain biking. Result very well nothing to say. We almost forget that we have headphones in their ears. Very good purchase I strongly advise")</f>
        <v>Bluetooth headphones I bought this product for listening to music while practicing running and mountain biking. Result very well nothing to say. We almost forget that we have headphones in their ears. Very good purchase I strongly advise</v>
      </c>
    </row>
    <row r="3354">
      <c r="A3354" s="1">
        <v>5.0</v>
      </c>
      <c r="B3354" s="1" t="s">
        <v>3323</v>
      </c>
      <c r="C3354" t="str">
        <f>IFERROR(__xludf.DUMMYFUNCTION("GOOGLETRANSLATE(B3354, ""fr"", ""en"")"),"Good slip Demelle. very comfortable slippers, I have trouble walking and they hold up well to foot, to check the stairs")</f>
        <v>Good slip Demelle. very comfortable slippers, I have trouble walking and they hold up well to foot, to check the stairs</v>
      </c>
    </row>
    <row r="3355">
      <c r="A3355" s="1">
        <v>5.0</v>
      </c>
      <c r="B3355" s="1" t="s">
        <v>3324</v>
      </c>
      <c r="C3355" t="str">
        <f>IFERROR(__xludf.DUMMYFUNCTION("GOOGLETRANSLATE(B3355, ""fr"", ""en"")"),"Great product I love the shoes, it is comfortable and above all they keep feet warm I love I recommend")</f>
        <v>Great product I love the shoes, it is comfortable and above all they keep feet warm I love I recommend</v>
      </c>
    </row>
    <row r="3356">
      <c r="A3356" s="1">
        <v>5.0</v>
      </c>
      <c r="B3356" s="1" t="s">
        <v>3325</v>
      </c>
      <c r="C3356" t="str">
        <f>IFERROR(__xludf.DUMMYFUNCTION("GOOGLETRANSLATE(B3356, ""fr"", ""en"")"),"Candy")</f>
        <v>Candy</v>
      </c>
    </row>
    <row r="3357">
      <c r="A3357" s="1">
        <v>5.0</v>
      </c>
      <c r="B3357" s="1" t="s">
        <v>3326</v>
      </c>
      <c r="C3357" t="str">
        <f>IFERROR(__xludf.DUMMYFUNCTION("GOOGLETRANSLATE(B3357, ""fr"", ""en"")"),"Very comfortable and delivered quickly very comfortable, good size, as described very nice, I recommend this article")</f>
        <v>Very comfortable and delivered quickly very comfortable, good size, as described very nice, I recommend this article</v>
      </c>
    </row>
    <row r="3358">
      <c r="A3358" s="1">
        <v>5.0</v>
      </c>
      <c r="B3358" s="1" t="s">
        <v>3327</v>
      </c>
      <c r="C3358" t="str">
        <f>IFERROR(__xludf.DUMMYFUNCTION("GOOGLETRANSLATE(B3358, ""fr"", ""en"")"),"Super Pack I recommend this pack! With this pack you are quiet for a moment. 6 bottles suffice! Super nice product and I recommend")</f>
        <v>Super Pack I recommend this pack! With this pack you are quiet for a moment. 6 bottles suffice! Super nice product and I recommend</v>
      </c>
    </row>
    <row r="3359">
      <c r="A3359" s="1">
        <v>5.0</v>
      </c>
      <c r="B3359" s="1" t="s">
        <v>3328</v>
      </c>
      <c r="C3359" t="str">
        <f>IFERROR(__xludf.DUMMYFUNCTION("GOOGLETRANSLATE(B3359, ""fr"", ""en"")"),"Good product cord in good order. Unfortunately I made a mistake of connection. So I recommended the right model.")</f>
        <v>Good product cord in good order. Unfortunately I made a mistake of connection. So I recommended the right model.</v>
      </c>
    </row>
    <row r="3360">
      <c r="A3360" s="1">
        <v>2.0</v>
      </c>
      <c r="B3360" s="1" t="s">
        <v>3329</v>
      </c>
      <c r="C3360" t="str">
        <f>IFERROR(__xludf.DUMMYFUNCTION("GOOGLETRANSLATE(B3360, ""fr"", ""en"")"),"This watch is not beautiful too basic in presentation. For the operation we will see the use. Damage to the look too simple")</f>
        <v>This watch is not beautiful too basic in presentation. For the operation we will see the use. Damage to the look too simple</v>
      </c>
    </row>
    <row r="3361">
      <c r="A3361" s="1">
        <v>1.0</v>
      </c>
      <c r="B3361" s="1" t="s">
        <v>3330</v>
      </c>
      <c r="C3361" t="str">
        <f>IFERROR(__xludf.DUMMYFUNCTION("GOOGLETRANSLATE(B3361, ""fr"", ""en"")"),"Disappointed dirty shoes and mismanagement of transport worries Shoes assumed to be white or they are not! Rather white or dirty white, I would say. A yellowish stain on the front of one of the feet. Very disappointed ... I absolutely do not recommend at "&amp;"this price too! In addition, the parcel was lost by the carrier and I've had no seller feedback about its procedure to his carrier. Disappointed!")</f>
        <v>Disappointed dirty shoes and mismanagement of transport worries Shoes assumed to be white or they are not! Rather white or dirty white, I would say. A yellowish stain on the front of one of the feet. Very disappointed ... I absolutely do not recommend at this price too! In addition, the parcel was lost by the carrier and I've had no seller feedback about its procedure to his carrier. Disappointed!</v>
      </c>
    </row>
    <row r="3362">
      <c r="A3362" s="1">
        <v>1.0</v>
      </c>
      <c r="B3362" s="1" t="s">
        <v>3331</v>
      </c>
      <c r="C3362" t="str">
        <f>IFERROR(__xludf.DUMMYFUNCTION("GOOGLETRANSLATE(B3362, ""fr"", ""en"")"),"open product not in accordance with the announcement Hello I ordered a new product, I get an open Used. Disappointed at the lack of information and consideration of the customer. Do not recommend!")</f>
        <v>open product not in accordance with the announcement Hello I ordered a new product, I get an open Used. Disappointed at the lack of information and consideration of the customer. Do not recommend!</v>
      </c>
    </row>
    <row r="3363">
      <c r="A3363" s="1">
        <v>3.0</v>
      </c>
      <c r="B3363" s="1" t="s">
        <v>3332</v>
      </c>
      <c r="C3363" t="str">
        <f>IFERROR(__xludf.DUMMYFUNCTION("GOOGLETRANSLATE(B3363, ""fr"", ""en"")"),"One can not disappointed Paper high quality")</f>
        <v>One can not disappointed Paper high quality</v>
      </c>
    </row>
    <row r="3364">
      <c r="A3364" s="1">
        <v>3.0</v>
      </c>
      <c r="B3364" s="1" t="s">
        <v>3333</v>
      </c>
      <c r="C3364" t="str">
        <f>IFERROR(__xludf.DUMMYFUNCTION("GOOGLETRANSLATE(B3364, ""fr"", ""en"")"),"Disappointed bass sound quality enthusiast, and especially deep bass, I'm a little above this level. Very comfortable, very light, its clear and clean, but the bass is really not ""extra"" ... especially with the high volume, it disappears ... unfortunate"&amp;"ly I will certainly consider an exchange")</f>
        <v>Disappointed bass sound quality enthusiast, and especially deep bass, I'm a little above this level. Very comfortable, very light, its clear and clean, but the bass is really not "extra" ... especially with the high volume, it disappears ... unfortunately I will certainly consider an exchange</v>
      </c>
    </row>
    <row r="3365">
      <c r="A3365" s="1">
        <v>4.0</v>
      </c>
      <c r="B3365" s="1" t="s">
        <v>3334</v>
      </c>
      <c r="C3365" t="str">
        <f>IFERROR(__xludf.DUMMYFUNCTION("GOOGLETRANSLATE(B3365, ""fr"", ""en"")"),"Cute baby bottle This bottle Philips Avent is rather funny with her three cubs. It has a 260 ml capacity and is designed for babies over a month. Its wide end teat allows babies to the well mouth. An anti-colic system is integrated there. Taking bath bott"&amp;"le is easy. It is top but still a bit expensive for a bottle.")</f>
        <v>Cute baby bottle This bottle Philips Avent is rather funny with her three cubs. It has a 260 ml capacity and is designed for babies over a month. Its wide end teat allows babies to the well mouth. An anti-colic system is integrated there. Taking bath bottle is easy. It is top but still a bit expensive for a bottle.</v>
      </c>
    </row>
    <row r="3366">
      <c r="A3366" s="1">
        <v>4.0</v>
      </c>
      <c r="B3366" s="1" t="s">
        <v>3335</v>
      </c>
      <c r="C3366" t="str">
        <f>IFERROR(__xludf.DUMMYFUNCTION("GOOGLETRANSLATE(B3366, ""fr"", ""en"")"),"Highly Recommended Good value, superb watchband")</f>
        <v>Highly Recommended Good value, superb watchband</v>
      </c>
    </row>
    <row r="3367">
      <c r="A3367" s="1">
        <v>4.0</v>
      </c>
      <c r="B3367" s="1" t="s">
        <v>3336</v>
      </c>
      <c r="C3367" t="str">
        <f>IFERROR(__xludf.DUMMYFUNCTION("GOOGLETRANSLATE(B3367, ""fr"", ""en"")"),"Beautiful cheap My second skin")</f>
        <v>Beautiful cheap My second skin</v>
      </c>
    </row>
    <row r="3368">
      <c r="A3368" s="1">
        <v>4.0</v>
      </c>
      <c r="B3368" s="1" t="s">
        <v>3337</v>
      </c>
      <c r="C3368" t="str">
        <f>IFERROR(__xludf.DUMMYFUNCTION("GOOGLETRANSLATE(B3368, ""fr"", ""en"")"),"The contention in the sock and above matter. Happy with my purchase, I bought 4 pairs, not simultaneously. I did a test and pharmacy as there is very little cotton and is allergic, I bet on this one and all is well.")</f>
        <v>The contention in the sock and above matter. Happy with my purchase, I bought 4 pairs, not simultaneously. I did a test and pharmacy as there is very little cotton and is allergic, I bet on this one and all is well.</v>
      </c>
    </row>
    <row r="3369">
      <c r="A3369" s="1">
        <v>5.0</v>
      </c>
      <c r="B3369" s="1" t="s">
        <v>3338</v>
      </c>
      <c r="C3369" t="str">
        <f>IFERROR(__xludf.DUMMYFUNCTION("GOOGLETRANSLATE(B3369, ""fr"", ""en"")"),"No complaints. Perfect for any occasion")</f>
        <v>No complaints. Perfect for any occasion</v>
      </c>
    </row>
    <row r="3370">
      <c r="A3370" s="1">
        <v>5.0</v>
      </c>
      <c r="B3370" s="1" t="s">
        <v>3339</v>
      </c>
      <c r="C3370" t="str">
        <f>IFERROR(__xludf.DUMMYFUNCTION("GOOGLETRANSLATE(B3370, ""fr"", ""en"")"),"Quality Bon'e the top. Very nice t shirt, good quality even after repeated washing. Size correctly.")</f>
        <v>Quality Bon'e the top. Very nice t shirt, good quality even after repeated washing. Size correctly.</v>
      </c>
    </row>
    <row r="3371">
      <c r="A3371" s="1">
        <v>5.0</v>
      </c>
      <c r="B3371" s="1" t="s">
        <v>3340</v>
      </c>
      <c r="C3371" t="str">
        <f>IFERROR(__xludf.DUMMYFUNCTION("GOOGLETRANSLATE(B3371, ""fr"", ""en"")"),"Very well. Very cute little box, well commented, there is even a small leaflet to comment a good amount of stone.")</f>
        <v>Very well. Very cute little box, well commented, there is even a small leaflet to comment a good amount of stone.</v>
      </c>
    </row>
    <row r="3372">
      <c r="A3372" s="1">
        <v>5.0</v>
      </c>
      <c r="B3372" s="1" t="s">
        <v>3341</v>
      </c>
      <c r="C3372" t="str">
        <f>IFERROR(__xludf.DUMMYFUNCTION("GOOGLETRANSLATE(B3372, ""fr"", ""en"")"),"Very nice on top sneakers")</f>
        <v>Very nice on top sneakers</v>
      </c>
    </row>
    <row r="3373">
      <c r="A3373" s="1">
        <v>5.0</v>
      </c>
      <c r="B3373" s="1" t="s">
        <v>3342</v>
      </c>
      <c r="C3373" t="str">
        <f>IFERROR(__xludf.DUMMYFUNCTION("GOOGLETRANSLATE(B3373, ""fr"", ""en"")"),"Very good thank you")</f>
        <v>Very good thank you</v>
      </c>
    </row>
    <row r="3374">
      <c r="A3374" s="1">
        <v>5.0</v>
      </c>
      <c r="B3374" s="1" t="s">
        <v>3343</v>
      </c>
      <c r="C3374" t="str">
        <f>IFERROR(__xludf.DUMMYFUNCTION("GOOGLETRANSLATE(B3374, ""fr"", ""en"")"),"Glue A little expensive but very well")</f>
        <v>Glue A little expensive but very well</v>
      </c>
    </row>
    <row r="3375">
      <c r="A3375" s="1">
        <v>5.0</v>
      </c>
      <c r="B3375" s="1" t="s">
        <v>3344</v>
      </c>
      <c r="C3375" t="str">
        <f>IFERROR(__xludf.DUMMYFUNCTION("GOOGLETRANSLATE(B3375, ""fr"", ""en"")"),"but essential to review graduations easy to use even if the gradations of measuring container deserve to be in color. they are raised but that does not make reading easier, however. I sometimes put forth more water because it does not heat enough. nice cl"&amp;"ean design. I use both to warm that thaw. I Philips Advent bottles and storage jars of the same brand. bought with house connection only.")</f>
        <v>but essential to review graduations easy to use even if the gradations of measuring container deserve to be in color. they are raised but that does not make reading easier, however. I sometimes put forth more water because it does not heat enough. nice clean design. I use both to warm that thaw. I Philips Advent bottles and storage jars of the same brand. bought with house connection only.</v>
      </c>
    </row>
    <row r="3376">
      <c r="A3376" s="1">
        <v>5.0</v>
      </c>
      <c r="B3376" s="1" t="s">
        <v>3345</v>
      </c>
      <c r="C3376" t="str">
        <f>IFERROR(__xludf.DUMMYFUNCTION("GOOGLETRANSLATE(B3376, ""fr"", ""en"")"),"Funky Super Soft, warm, comfortable and beautiful !!!")</f>
        <v>Funky Super Soft, warm, comfortable and beautiful !!!</v>
      </c>
    </row>
    <row r="3377">
      <c r="A3377" s="1">
        <v>5.0</v>
      </c>
      <c r="B3377" s="1" t="s">
        <v>3346</v>
      </c>
      <c r="C3377" t="str">
        <f>IFERROR(__xludf.DUMMYFUNCTION("GOOGLETRANSLATE(B3377, ""fr"", ""en"")"),"well well well easy to use, nice design. The different light intensity are pleasant to get up quietly. top top galley for those who wake up")</f>
        <v>well well well easy to use, nice design. The different light intensity are pleasant to get up quietly. top top galley for those who wake up</v>
      </c>
    </row>
    <row r="3378">
      <c r="A3378" s="1">
        <v>5.0</v>
      </c>
      <c r="B3378" s="1" t="s">
        <v>3347</v>
      </c>
      <c r="C3378" t="str">
        <f>IFERROR(__xludf.DUMMYFUNCTION("GOOGLETRANSLATE(B3378, ""fr"", ""en"")"),"Very nice ! But most girl boy rendering the digital dial on black is very cool, especially with the golden box! Just be careful because the bracelet becomes narrower at the clasp, which makes quite feminine watch. I am a man with a rather large it felt we"&amp;"ird wrist.")</f>
        <v>Very nice ! But most girl boy rendering the digital dial on black is very cool, especially with the golden box! Just be careful because the bracelet becomes narrower at the clasp, which makes quite feminine watch. I am a man with a rather large it felt weird wrist.</v>
      </c>
    </row>
    <row r="3379">
      <c r="A3379" s="1">
        <v>5.0</v>
      </c>
      <c r="B3379" s="1" t="s">
        <v>3348</v>
      </c>
      <c r="C3379" t="str">
        <f>IFERROR(__xludf.DUMMYFUNCTION("GOOGLETRANSLATE(B3379, ""fr"", ""en"")"),"Very well Fairly soft fabric, this cushion heats well. The order is a real plus, as is being able to move the machine. It performs quite function. I took it for problems tendonitis and trapezoids regularly knotted.")</f>
        <v>Very well Fairly soft fabric, this cushion heats well. The order is a real plus, as is being able to move the machine. It performs quite function. I took it for problems tendonitis and trapezoids regularly knotted.</v>
      </c>
    </row>
    <row r="3380">
      <c r="A3380" s="1">
        <v>5.0</v>
      </c>
      <c r="B3380" s="1" t="s">
        <v>3349</v>
      </c>
      <c r="C3380" t="str">
        <f>IFERROR(__xludf.DUMMYFUNCTION("GOOGLETRANSLATE(B3380, ""fr"", ""en"")"),"Bag I bought this bag for my brother, it is very strong and waterproof, item arrived ahead of schedule, he uses every day and is very satisfied.")</f>
        <v>Bag I bought this bag for my brother, it is very strong and waterproof, item arrived ahead of schedule, he uses every day and is very satisfied.</v>
      </c>
    </row>
    <row r="3381">
      <c r="A3381" s="1">
        <v>5.0</v>
      </c>
      <c r="B3381" s="1" t="s">
        <v>224</v>
      </c>
      <c r="C3381" t="str">
        <f>IFERROR(__xludf.DUMMYFUNCTION("GOOGLETRANSLATE(B3381, ""fr"", ""en"")"),"perfect perfect")</f>
        <v>perfect perfect</v>
      </c>
    </row>
    <row r="3382">
      <c r="A3382" s="1">
        <v>5.0</v>
      </c>
      <c r="B3382" s="1" t="s">
        <v>3350</v>
      </c>
      <c r="C3382" t="str">
        <f>IFERROR(__xludf.DUMMYFUNCTION("GOOGLETRANSLATE(B3382, ""fr"", ""en"")"),"She shows man a lot of class Received She is very pretty in a beautiful package")</f>
        <v>She shows man a lot of class Received She is very pretty in a beautiful package</v>
      </c>
    </row>
    <row r="3383">
      <c r="A3383" s="1">
        <v>5.0</v>
      </c>
      <c r="B3383" s="1" t="s">
        <v>3351</v>
      </c>
      <c r="C3383" t="str">
        <f>IFERROR(__xludf.DUMMYFUNCTION("GOOGLETRANSLATE(B3383, ""fr"", ""en"")"),"A great product resistant I recommend it 100% tempered glass, it is solid and it is provided with its wipes. Everything was very well packed and the seller is really nice, it's a very nice person. I advise this if you want to protect your phone from bumps"&amp;". Thank you for this day and it helps me protect my potential scratches phones or shock and I am thrilled to have it, I'll buy without hesitation.")</f>
        <v>A great product resistant I recommend it 100% tempered glass, it is solid and it is provided with its wipes. Everything was very well packed and the seller is really nice, it's a very nice person. I advise this if you want to protect your phone from bumps. Thank you for this day and it helps me protect my potential scratches phones or shock and I am thrilled to have it, I'll buy without hesitation.</v>
      </c>
    </row>
    <row r="3384">
      <c r="A3384" s="1">
        <v>2.0</v>
      </c>
      <c r="B3384" s="1" t="s">
        <v>3352</v>
      </c>
      <c r="C3384" t="str">
        <f>IFERROR(__xludf.DUMMYFUNCTION("GOOGLETRANSLATE(B3384, ""fr"", ""en"")"),"men watch ? men watch ???? really small. I wanted the same watch that I had in the 80's ...... disappointed")</f>
        <v>men watch ? men watch ???? really small. I wanted the same watch that I had in the 80's ...... disappointed</v>
      </c>
    </row>
    <row r="3385">
      <c r="A3385" s="1">
        <v>1.0</v>
      </c>
      <c r="B3385" s="1" t="s">
        <v>3353</v>
      </c>
      <c r="C3385" t="str">
        <f>IFERROR(__xludf.DUMMYFUNCTION("GOOGLETRANSLATE(B3385, ""fr"", ""en"")"),"Very disappointed with my purchase! Bad experience no longer works throughout a month! Unable to load the headphones!")</f>
        <v>Very disappointed with my purchase! Bad experience no longer works throughout a month! Unable to load the headphones!</v>
      </c>
    </row>
    <row r="3386">
      <c r="A3386" s="1">
        <v>1.0</v>
      </c>
      <c r="B3386" s="1" t="s">
        <v>3354</v>
      </c>
      <c r="C3386" t="str">
        <f>IFERROR(__xludf.DUMMYFUNCTION("GOOGLETRANSLATE(B3386, ""fr"", ""en"")"),"disappointed and first wash the sweater is completely relaxed I put little I hoped q'Amazone be kind enough to offer me a voucher! I doubt my coach from small fortune I spent at Amazon since annérs but I doubt cordialemen.")</f>
        <v>disappointed and first wash the sweater is completely relaxed I put little I hoped q'Amazone be kind enough to offer me a voucher! I doubt my coach from small fortune I spent at Amazon since annérs but I doubt cordialemen.</v>
      </c>
    </row>
    <row r="3387">
      <c r="A3387" s="1">
        <v>3.0</v>
      </c>
      <c r="B3387" s="1" t="s">
        <v>3355</v>
      </c>
      <c r="C3387" t="str">
        <f>IFERROR(__xludf.DUMMYFUNCTION("GOOGLETRANSLATE(B3387, ""fr"", ""en"")"),"Top value but noisy Design nice and value for money for the moment, top, big downside to the noise it makes and plan to boil white vinegar 1 or 2 times a week because the water limestone very quickly task on this beautiful kettle, the LED is +, it damages"&amp;" only lights up when you put water on to boil")</f>
        <v>Top value but noisy Design nice and value for money for the moment, top, big downside to the noise it makes and plan to boil white vinegar 1 or 2 times a week because the water limestone very quickly task on this beautiful kettle, the LED is +, it damages only lights up when you put water on to boil</v>
      </c>
    </row>
    <row r="3388">
      <c r="A3388" s="1">
        <v>3.0</v>
      </c>
      <c r="B3388" s="1" t="s">
        <v>3356</v>
      </c>
      <c r="C3388" t="str">
        <f>IFERROR(__xludf.DUMMYFUNCTION("GOOGLETRANSLATE(B3388, ""fr"", ""en"")"),"Attention to color! the kit is good, except I have received a color package Khaki .... But I didn 't pay attention to the title of article there' was no color to indicated. But the picture gives a dark gray color, so I do have.")</f>
        <v>Attention to color! the kit is good, except I have received a color package Khaki .... But I didn 't pay attention to the title of article there' was no color to indicated. But the picture gives a dark gray color, so I do have.</v>
      </c>
    </row>
    <row r="3389">
      <c r="A3389" s="1">
        <v>4.0</v>
      </c>
      <c r="B3389" s="1" t="s">
        <v>3357</v>
      </c>
      <c r="C3389" t="str">
        <f>IFERROR(__xludf.DUMMYFUNCTION("GOOGLETRANSLATE(B3389, ""fr"", ""en"")"),"Good interior kettle Inox basic with good capacity (1.7L) kettle which is the essential: heating water to 100 ° C (no temperature selector, no matien warm). No light of all colors and which do not deactivate here. +: Interior Stainless rather quiet with j"&amp;"ust single button on / off and therefore less risk of failure - The minimum amount of water to be heated is 0.8L which is quite therefore 0.5L or less would have been preferable. The outer part still seems warm enough so we must remain cautious.")</f>
        <v>Good interior kettle Inox basic with good capacity (1.7L) kettle which is the essential: heating water to 100 ° C (no temperature selector, no matien warm). No light of all colors and which do not deactivate here. +: Interior Stainless rather quiet with just single button on / off and therefore less risk of failure - The minimum amount of water to be heated is 0.8L which is quite therefore 0.5L or less would have been preferable. The outer part still seems warm enough so we must remain cautious.</v>
      </c>
    </row>
    <row r="3390">
      <c r="A3390" s="1">
        <v>4.0</v>
      </c>
      <c r="B3390" s="1" t="s">
        <v>3358</v>
      </c>
      <c r="C3390" t="str">
        <f>IFERROR(__xludf.DUMMYFUNCTION("GOOGLETRANSLATE(B3390, ""fr"", ""en"")"),"For beautiful sport. My son loved.")</f>
        <v>For beautiful sport. My son loved.</v>
      </c>
    </row>
    <row r="3391">
      <c r="A3391" s="1">
        <v>4.0</v>
      </c>
      <c r="B3391" s="1" t="s">
        <v>3359</v>
      </c>
      <c r="C3391" t="str">
        <f>IFERROR(__xludf.DUMMYFUNCTION("GOOGLETRANSLATE(B3391, ""fr"", ""en"")"),"👍 👍")</f>
        <v>👍 👍</v>
      </c>
    </row>
    <row r="3392">
      <c r="A3392" s="1">
        <v>4.0</v>
      </c>
      <c r="B3392" s="1" t="s">
        <v>3360</v>
      </c>
      <c r="C3392" t="str">
        <f>IFERROR(__xludf.DUMMYFUNCTION("GOOGLETRANSLATE(B3392, ""fr"", ""en"")"),"Although honestly it suits for sorting or normal trash. For added strength i stuck in the garbage bag fasteners and ca holds very well. She has been very successful.")</f>
        <v>Although honestly it suits for sorting or normal trash. For added strength i stuck in the garbage bag fasteners and ca holds very well. She has been very successful.</v>
      </c>
    </row>
    <row r="3393">
      <c r="A3393" s="1">
        <v>5.0</v>
      </c>
      <c r="B3393" s="1" t="s">
        <v>3361</v>
      </c>
      <c r="C3393" t="str">
        <f>IFERROR(__xludf.DUMMYFUNCTION("GOOGLETRANSLATE(B3393, ""fr"", ""en"")"),"Sorter Sends Rapid Compliance")</f>
        <v>Sorter Sends Rapid Compliance</v>
      </c>
    </row>
    <row r="3394">
      <c r="A3394" s="1">
        <v>5.0</v>
      </c>
      <c r="B3394" s="1" t="s">
        <v>3362</v>
      </c>
      <c r="C3394" t="str">
        <f>IFERROR(__xludf.DUMMYFUNCTION("GOOGLETRANSLATE(B3394, ""fr"", ""en"")"),"Very good quality vir when I should change sapphire")</f>
        <v>Very good quality vir when I should change sapphire</v>
      </c>
    </row>
    <row r="3395">
      <c r="A3395" s="1">
        <v>5.0</v>
      </c>
      <c r="B3395" s="1" t="s">
        <v>3363</v>
      </c>
      <c r="C3395" t="str">
        <f>IFERROR(__xludf.DUMMYFUNCTION("GOOGLETRANSLATE(B3395, ""fr"", ""en"")"),"Casio ... At the top as always! Casio, no need to say more! At the top as usual")</f>
        <v>Casio ... At the top as always! Casio, no need to say more! At the top as usual</v>
      </c>
    </row>
    <row r="3396">
      <c r="A3396" s="1">
        <v>5.0</v>
      </c>
      <c r="B3396" s="1" t="s">
        <v>3364</v>
      </c>
      <c r="C3396" t="str">
        <f>IFERROR(__xludf.DUMMYFUNCTION("GOOGLETRANSLATE(B3396, ""fr"", ""en"")"),"Good product and service under shorts seamless dress or skirt")</f>
        <v>Good product and service under shorts seamless dress or skirt</v>
      </c>
    </row>
    <row r="3397">
      <c r="A3397" s="1">
        <v>5.0</v>
      </c>
      <c r="B3397" s="1" t="s">
        <v>3365</v>
      </c>
      <c r="C3397" t="str">
        <f>IFERROR(__xludf.DUMMYFUNCTION("GOOGLETRANSLATE(B3397, ""fr"", ""en"")"),"Safety shoe perfect")</f>
        <v>Safety shoe perfect</v>
      </c>
    </row>
    <row r="3398">
      <c r="A3398" s="1">
        <v>5.0</v>
      </c>
      <c r="B3398" s="1" t="s">
        <v>3366</v>
      </c>
      <c r="C3398" t="str">
        <f>IFERROR(__xludf.DUMMYFUNCTION("GOOGLETRANSLATE(B3398, ""fr"", ""en"")"),"Official super super value for money products brand I prefer to buy big packs because they come much cheaper because I use my sprocket especially for my newspaper bullet")</f>
        <v>Official super super value for money products brand I prefer to buy big packs because they come much cheaper because I use my sprocket especially for my newspaper bullet</v>
      </c>
    </row>
    <row r="3399">
      <c r="A3399" s="1">
        <v>5.0</v>
      </c>
      <c r="B3399" s="1" t="s">
        <v>3367</v>
      </c>
      <c r="C3399" t="str">
        <f>IFERROR(__xludf.DUMMYFUNCTION("GOOGLETRANSLATE(B3399, ""fr"", ""en"")"),"Peter clipper I love if I ever find can cheer. And the quality is to go I really do not expect it")</f>
        <v>Peter clipper I love if I ever find can cheer. And the quality is to go I really do not expect it</v>
      </c>
    </row>
    <row r="3400">
      <c r="A3400" s="1">
        <v>5.0</v>
      </c>
      <c r="B3400" s="1" t="s">
        <v>3368</v>
      </c>
      <c r="C3400" t="str">
        <f>IFERROR(__xludf.DUMMYFUNCTION("GOOGLETRANSLATE(B3400, ""fr"", ""en"")"),"Product very good product")</f>
        <v>Product very good product</v>
      </c>
    </row>
    <row r="3401">
      <c r="A3401" s="1">
        <v>5.0</v>
      </c>
      <c r="B3401" s="1" t="s">
        <v>3369</v>
      </c>
      <c r="C3401" t="str">
        <f>IFERROR(__xludf.DUMMYFUNCTION("GOOGLETRANSLATE(B3401, ""fr"", ""en"")"),"In offset always take a size above They are comfortable I feel them every day")</f>
        <v>In offset always take a size above They are comfortable I feel them every day</v>
      </c>
    </row>
    <row r="3402">
      <c r="A3402" s="1">
        <v>5.0</v>
      </c>
      <c r="B3402" s="1" t="s">
        <v>3370</v>
      </c>
      <c r="C3402" t="str">
        <f>IFERROR(__xludf.DUMMYFUNCTION("GOOGLETRANSLATE(B3402, ""fr"", ""en"")"),"Excellent order book was in due time, in delays of intended and in good condition. The article is excellent, perfect operation and corresponds entirely to what I expected. Thank you and bravo! Nathy")</f>
        <v>Excellent order book was in due time, in delays of intended and in good condition. The article is excellent, perfect operation and corresponds entirely to what I expected. Thank you and bravo! Nathy</v>
      </c>
    </row>
    <row r="3403">
      <c r="A3403" s="1">
        <v>5.0</v>
      </c>
      <c r="B3403" s="1" t="s">
        <v>3371</v>
      </c>
      <c r="C3403" t="str">
        <f>IFERROR(__xludf.DUMMYFUNCTION("GOOGLETRANSLATE(B3403, ""fr"", ""en"")"),"Very happy very happy headphones. I use them in transportation and for sports. It may transpire with, no problem. Small detail, several tips for ears come, I who is always problems to hold here no problem even during running. The sound is good, autonomy a"&amp;"lso (I do my workout 2h quietly). I have not tried the call pickup and mic, but you hear when you call us. Good to know, because I did not understand at first. The case, without being plugged in, recharging your headphones. So you can take them on the roa"&amp;"d and they are recharged every time you put them in the box.")</f>
        <v>Very happy very happy headphones. I use them in transportation and for sports. It may transpire with, no problem. Small detail, several tips for ears come, I who is always problems to hold here no problem even during running. The sound is good, autonomy also (I do my workout 2h quietly). I have not tried the call pickup and mic, but you hear when you call us. Good to know, because I did not understand at first. The case, without being plugged in, recharging your headphones. So you can take them on the road and they are recharged every time you put them in the box.</v>
      </c>
    </row>
    <row r="3404">
      <c r="A3404" s="1">
        <v>5.0</v>
      </c>
      <c r="B3404" s="1" t="s">
        <v>3372</v>
      </c>
      <c r="C3404" t="str">
        <f>IFERROR(__xludf.DUMMYFUNCTION("GOOGLETRANSLATE(B3404, ""fr"", ""en"")"),"Superb pair of sneakers! Size great, super comfortable, this beautiful pair of sneakers like very much! Very classy, ​​perfect shoes to wear for any occasion! I recommend")</f>
        <v>Superb pair of sneakers! Size great, super comfortable, this beautiful pair of sneakers like very much! Very classy, ​​perfect shoes to wear for any occasion! I recommend</v>
      </c>
    </row>
    <row r="3405">
      <c r="A3405" s="1">
        <v>5.0</v>
      </c>
      <c r="B3405" s="1" t="s">
        <v>3373</v>
      </c>
      <c r="C3405" t="str">
        <f>IFERROR(__xludf.DUMMYFUNCTION("GOOGLETRANSLATE(B3405, ""fr"", ""en"")"),"Black moccasins Loafers Sebago Sebago size 43 black leather soles as ordered. Very good value prix.J'apprécie timeless habillé.J'aime side and also their quick and solidité.Envoi soigné.C'est perfect !!!")</f>
        <v>Black moccasins Loafers Sebago Sebago size 43 black leather soles as ordered. Very good value prix.J'apprécie timeless habillé.J'aime side and also their quick and solidité.Envoi soigné.C'est perfect !!!</v>
      </c>
    </row>
    <row r="3406">
      <c r="A3406" s="1">
        <v>5.0</v>
      </c>
      <c r="B3406" s="1" t="s">
        <v>3374</v>
      </c>
      <c r="C3406" t="str">
        <f>IFERROR(__xludf.DUMMYFUNCTION("GOOGLETRANSLATE(B3406, ""fr"", ""en"")"),"These are perfect perfect. They are relatively flexible and I am sure they will become softer with time. Perfect fit if worn without socks or with thin socks. Buy the next size to wear with thicker socks in cold weather.")</f>
        <v>These are perfect perfect. They are relatively flexible and I am sure they will become softer with time. Perfect fit if worn without socks or with thin socks. Buy the next size to wear with thicker socks in cold weather.</v>
      </c>
    </row>
    <row r="3407">
      <c r="A3407" s="1">
        <v>5.0</v>
      </c>
      <c r="B3407" s="1" t="s">
        <v>3375</v>
      </c>
      <c r="C3407" t="str">
        <f>IFERROR(__xludf.DUMMYFUNCTION("GOOGLETRANSLATE(B3407, ""fr"", ""en"")"),"What do you expect to get them? Excellent product faithful to the photo. perfect description. very comfortable perfect size I just try them I walked with for 5 minutes in the house nothing to say !! I recommend a thousand times really offer you should not"&amp;" miss.")</f>
        <v>What do you expect to get them? Excellent product faithful to the photo. perfect description. very comfortable perfect size I just try them I walked with for 5 minutes in the house nothing to say !! I recommend a thousand times really offer you should not miss.</v>
      </c>
    </row>
    <row r="3408">
      <c r="A3408" s="1">
        <v>2.0</v>
      </c>
      <c r="B3408" s="1" t="s">
        <v>3376</v>
      </c>
      <c r="C3408" t="str">
        <f>IFERROR(__xludf.DUMMYFUNCTION("GOOGLETRANSLATE(B3408, ""fr"", ""en"")"),"does not suit me at first sight this helmet was promising: neat package, nice look correct charging station. Unfortunately, after this, the headset does not work great. after charging 24 advisable at the time of commissioning, nothing happens (despite goo"&amp;"d connections. I try again I get to have a sound but only the left side !! trying to change the channel, the same. this helmet does not suit me at all. I refer.")</f>
        <v>does not suit me at first sight this helmet was promising: neat package, nice look correct charging station. Unfortunately, after this, the headset does not work great. after charging 24 advisable at the time of commissioning, nothing happens (despite good connections. I try again I get to have a sound but only the left side !! trying to change the channel, the same. this helmet does not suit me at all. I refer.</v>
      </c>
    </row>
    <row r="3409">
      <c r="A3409" s="1">
        <v>1.0</v>
      </c>
      <c r="B3409" s="1" t="s">
        <v>3377</v>
      </c>
      <c r="C3409" t="str">
        <f>IFERROR(__xludf.DUMMYFUNCTION("GOOGLETRANSLATE(B3409, ""fr"", ""en"")"),"It is not good It is not good")</f>
        <v>It is not good It is not good</v>
      </c>
    </row>
    <row r="3410">
      <c r="A3410" s="1">
        <v>1.0</v>
      </c>
      <c r="B3410" s="1" t="s">
        <v>3378</v>
      </c>
      <c r="C3410" t="str">
        <f>IFERROR(__xludf.DUMMYFUNCTION("GOOGLETRANSLATE(B3410, ""fr"", ""en"")"),"Article nonconforming not like, not according to what is written ""Mission Gel 3 '' when he mentioned no shoes on hand the notion"" GEL """)</f>
        <v>Article nonconforming not like, not according to what is written "Mission Gel 3 '' when he mentioned no shoes on hand the notion" GEL "</v>
      </c>
    </row>
    <row r="3411">
      <c r="A3411" s="1">
        <v>3.0</v>
      </c>
      <c r="B3411" s="1" t="s">
        <v>3379</v>
      </c>
      <c r="C3411" t="str">
        <f>IFERROR(__xludf.DUMMYFUNCTION("GOOGLETRANSLATE(B3411, ""fr"", ""en"")"),"Bad Very nice but: medium coffee (not enough steam), therefore no programming end beep must be coupled with a synchronized clock ... Use programming that requires out the instructions each time (at unless you have that to remember ...), I do not recommend"&amp;"!")</f>
        <v>Bad Very nice but: medium coffee (not enough steam), therefore no programming end beep must be coupled with a synchronized clock ... Use programming that requires out the instructions each time (at unless you have that to remember ...), I do not recommend!</v>
      </c>
    </row>
    <row r="3412">
      <c r="A3412" s="1">
        <v>4.0</v>
      </c>
      <c r="B3412" s="1" t="s">
        <v>3380</v>
      </c>
      <c r="C3412" t="str">
        <f>IFERROR(__xludf.DUMMYFUNCTION("GOOGLETRANSLATE(B3412, ""fr"", ""en"")"),"Good value, with few problems against ink traces when making gray Product very well, I removed a star because when you make a print in gray pink ago that appears in print and it made small lines (can also be due to my printer), but I still prefer to put i"&amp;"t. Otherwise good value")</f>
        <v>Good value, with few problems against ink traces when making gray Product very well, I removed a star because when you make a print in gray pink ago that appears in print and it made small lines (can also be due to my printer), but I still prefer to put it. Otherwise good value</v>
      </c>
    </row>
    <row r="3413">
      <c r="A3413" s="1">
        <v>4.0</v>
      </c>
      <c r="B3413" s="1" t="s">
        <v>3381</v>
      </c>
      <c r="C3413" t="str">
        <f>IFERROR(__xludf.DUMMYFUNCTION("GOOGLETRANSLATE(B3413, ""fr"", ""en"")"),"Functional and good apparent quality Good article for one seeking a stylish shoulder bag and small size while having enough capacity to store different types of items (wallet, checkbook, notebook, etc.). Not suitable for I-pad or even a large smartphone. "&amp;"Pros: - carrying handle, it is rare to find a shoulder bag of this size, which is handy when you do not door to the shoulder. - the sober and elegant enough of this model in leather, discreet and ""young"" at a time; I chose the dark brown color that goes"&amp;" with all types of clothing. (Small) unless: - the front flap closes with a magnetic button not powerful enough for my taste, and therefore do not provide a solid of the corresponding pocket closure; prudence, I do not put that stuff dishes (eg paper, loy"&amp;"alty cards) that will not slip out of pocket if it opens accidentally. - the zipper of the small flat zippered pocket on the front of the bag is oriented vertically, hence the risk of falling of its contents when opened: in use, this bag very flat turns o"&amp;"nly suitable a credit card, but not to accommodate a small key ring that would catch without opening a large main pockets. However, this is a good product, and I recommend it despite the small design flaws.")</f>
        <v>Functional and good apparent quality Good article for one seeking a stylish shoulder bag and small size while having enough capacity to store different types of items (wallet, checkbook, notebook, etc.). Not suitable for I-pad or even a large smartphone. Pros: - carrying handle, it is rare to find a shoulder bag of this size, which is handy when you do not door to the shoulder. - the sober and elegant enough of this model in leather, discreet and "young" at a time; I chose the dark brown color that goes with all types of clothing. (Small) unless: - the front flap closes with a magnetic button not powerful enough for my taste, and therefore do not provide a solid of the corresponding pocket closure; prudence, I do not put that stuff dishes (eg paper, loyalty cards) that will not slip out of pocket if it opens accidentally. - the zipper of the small flat zippered pocket on the front of the bag is oriented vertically, hence the risk of falling of its contents when opened: in use, this bag very flat turns only suitable a credit card, but not to accommodate a small key ring that would catch without opening a large main pockets. However, this is a good product, and I recommend it despite the small design flaws.</v>
      </c>
    </row>
    <row r="3414">
      <c r="A3414" s="1">
        <v>4.0</v>
      </c>
      <c r="B3414" s="1" t="s">
        <v>3382</v>
      </c>
      <c r="C3414" t="str">
        <f>IFERROR(__xludf.DUMMYFUNCTION("GOOGLETRANSLATE(B3414, ""fr"", ""en"")"),"sneakers A little big, with a sole that will be fine. The 37 squeezed my feet and there a little space after")</f>
        <v>sneakers A little big, with a sole that will be fine. The 37 squeezed my feet and there a little space after</v>
      </c>
    </row>
    <row r="3415">
      <c r="A3415" s="1">
        <v>4.0</v>
      </c>
      <c r="B3415" s="1" t="s">
        <v>3383</v>
      </c>
      <c r="C3415" t="str">
        <f>IFERROR(__xludf.DUMMYFUNCTION("GOOGLETRANSLATE(B3415, ""fr"", ""en"")"),"Relaxation dots a little painful at first presentation of warmth and relaxation with this flower carpet. Very good product .")</f>
        <v>Relaxation dots a little painful at first presentation of warmth and relaxation with this flower carpet. Very good product .</v>
      </c>
    </row>
    <row r="3416">
      <c r="A3416" s="1">
        <v>5.0</v>
      </c>
      <c r="B3416" s="1" t="s">
        <v>3384</v>
      </c>
      <c r="C3416" t="str">
        <f>IFERROR(__xludf.DUMMYFUNCTION("GOOGLETRANSLATE(B3416, ""fr"", ""en"")"),"Good nice alarm clock, soft and functional, it already gives the time and wake up every day, and it's already a super good point. Then the fact be able to adjust the color is not a negligible product with a soft ring. Construction is respectable and the p"&amp;"rice is real consistent with the overall quality presented here. Good")</f>
        <v>Good nice alarm clock, soft and functional, it already gives the time and wake up every day, and it's already a super good point. Then the fact be able to adjust the color is not a negligible product with a soft ring. Construction is respectable and the price is real consistent with the overall quality presented here. Good</v>
      </c>
    </row>
    <row r="3417">
      <c r="A3417" s="1">
        <v>5.0</v>
      </c>
      <c r="B3417" s="1" t="s">
        <v>3385</v>
      </c>
      <c r="C3417" t="str">
        <f>IFERROR(__xludf.DUMMYFUNCTION("GOOGLETRANSLATE(B3417, ""fr"", ""en"")"),"Very chill in style fashion")</f>
        <v>Very chill in style fashion</v>
      </c>
    </row>
    <row r="3418">
      <c r="A3418" s="1">
        <v>5.0</v>
      </c>
      <c r="B3418" s="1" t="s">
        <v>3386</v>
      </c>
      <c r="C3418" t="str">
        <f>IFERROR(__xludf.DUMMYFUNCTION("GOOGLETRANSLATE(B3418, ""fr"", ""en"")"),"beautiful shows reliable and robust all-steel watch (even the case), very resistant glass, no scratches to date. it recharges well, works very well, fairly easy to adjust. Too bad the choice of language is forgotten French.")</f>
        <v>beautiful shows reliable and robust all-steel watch (even the case), very resistant glass, no scratches to date. it recharges well, works very well, fairly easy to adjust. Too bad the choice of language is forgotten French.</v>
      </c>
    </row>
    <row r="3419">
      <c r="A3419" s="1">
        <v>5.0</v>
      </c>
      <c r="B3419" s="1" t="s">
        <v>3387</v>
      </c>
      <c r="C3419" t="str">
        <f>IFERROR(__xludf.DUMMYFUNCTION("GOOGLETRANSLATE(B3419, ""fr"", ""en"")"),"Slipper for the job they are comfortable e flexible but must be ordered 2 sizes smaller Autremant they are too large.")</f>
        <v>Slipper for the job they are comfortable e flexible but must be ordered 2 sizes smaller Autremant they are too large.</v>
      </c>
    </row>
    <row r="3420">
      <c r="A3420" s="1">
        <v>5.0</v>
      </c>
      <c r="B3420" s="1" t="s">
        <v>3388</v>
      </c>
      <c r="C3420" t="str">
        <f>IFERROR(__xludf.DUMMYFUNCTION("GOOGLETRANSLATE(B3420, ""fr"", ""en"")"),"Lamp really great Finally a real desk lamp! lighting dimmable fingertip, but also with changeable color temperature (more blue, white, orange, etc.). Ideal to adapt the light to the current activity. quality / price ratio. Very well packaged. I recommend.")</f>
        <v>Lamp really great Finally a real desk lamp! lighting dimmable fingertip, but also with changeable color temperature (more blue, white, orange, etc.). Ideal to adapt the light to the current activity. quality / price ratio. Very well packaged. I recommend.</v>
      </c>
    </row>
    <row r="3421">
      <c r="A3421" s="1">
        <v>5.0</v>
      </c>
      <c r="B3421" s="1" t="s">
        <v>3389</v>
      </c>
      <c r="C3421" t="str">
        <f>IFERROR(__xludf.DUMMYFUNCTION("GOOGLETRANSLATE(B3421, ""fr"", ""en"")"),"I recommand it! I bought this bag for my boyfriend, he loves her very much! First, the black goes well with clothing, and black is somewhat messy. Second, the capacity of the bag is very large and can contain many choses.La most important thing is the qua"&amp;"lity of this bag is very good. I think this is a good gift for men.")</f>
        <v>I recommand it! I bought this bag for my boyfriend, he loves her very much! First, the black goes well with clothing, and black is somewhat messy. Second, the capacity of the bag is very large and can contain many choses.La most important thing is the quality of this bag is very good. I think this is a good gift for men.</v>
      </c>
    </row>
    <row r="3422">
      <c r="A3422" s="1">
        <v>5.0</v>
      </c>
      <c r="B3422" s="1" t="s">
        <v>3390</v>
      </c>
      <c r="C3422" t="str">
        <f>IFERROR(__xludf.DUMMYFUNCTION("GOOGLETRANSLATE(B3422, ""fr"", ""en"")"),"Although in his sneakers sneakers Super great size. Comfortable to wear. flexible material. Pretty one. great price")</f>
        <v>Although in his sneakers sneakers Super great size. Comfortable to wear. flexible material. Pretty one. great price</v>
      </c>
    </row>
    <row r="3423">
      <c r="A3423" s="1">
        <v>5.0</v>
      </c>
      <c r="B3423" s="1" t="s">
        <v>3391</v>
      </c>
      <c r="C3423" t="str">
        <f>IFERROR(__xludf.DUMMYFUNCTION("GOOGLETRANSLATE(B3423, ""fr"", ""en"")"),"Lee Cooper Workwear Lcshoe054, .. Very good product, wearable, flexible, lightweight and can be confused with a pair of traditional basketball. I doors all day at work and I continued to wear them with work to go shopping for example. I highly recommend t"&amp;"his product.")</f>
        <v>Lee Cooper Workwear Lcshoe054, .. Very good product, wearable, flexible, lightweight and can be confused with a pair of traditional basketball. I doors all day at work and I continued to wear them with work to go shopping for example. I highly recommend this product.</v>
      </c>
    </row>
    <row r="3424">
      <c r="A3424" s="1">
        <v>5.0</v>
      </c>
      <c r="B3424" s="1" t="s">
        <v>3392</v>
      </c>
      <c r="C3424" t="str">
        <f>IFERROR(__xludf.DUMMYFUNCTION("GOOGLETRANSLATE(B3424, ""fr"", ""en"")"),"A perfect little time to adapt, but sandals nice, simple, super resistant. Always in excellent condition after about three years.")</f>
        <v>A perfect little time to adapt, but sandals nice, simple, super resistant. Always in excellent condition after about three years.</v>
      </c>
    </row>
    <row r="3425">
      <c r="A3425" s="1">
        <v>5.0</v>
      </c>
      <c r="B3425" s="1" t="s">
        <v>3393</v>
      </c>
      <c r="C3425" t="str">
        <f>IFERROR(__xludf.DUMMYFUNCTION("GOOGLETRANSLATE(B3425, ""fr"", ""en"")"),"Meets demand Very good pen that we do not need to throw everything when empty just change the cartridge erase the 👍")</f>
        <v>Meets demand Very good pen that we do not need to throw everything when empty just change the cartridge erase the 👍</v>
      </c>
    </row>
    <row r="3426">
      <c r="A3426" s="1">
        <v>5.0</v>
      </c>
      <c r="B3426" s="1" t="s">
        <v>3394</v>
      </c>
      <c r="C3426" t="str">
        <f>IFERROR(__xludf.DUMMYFUNCTION("GOOGLETRANSLATE(B3426, ""fr"", ""en"")"),"very good very good safety shoes, comfortable for me who have wide feet I have absolutely no harm even the first day .I would even say they are much better than that provided by my employer that .J'espère this brand last a long time so I could find the sa"&amp;"me in a year :)")</f>
        <v>very good very good safety shoes, comfortable for me who have wide feet I have absolutely no harm even the first day .I would even say they are much better than that provided by my employer that .J'espère this brand last a long time so I could find the same in a year :)</v>
      </c>
    </row>
    <row r="3427">
      <c r="A3427" s="1">
        <v>5.0</v>
      </c>
      <c r="B3427" s="1" t="s">
        <v>3395</v>
      </c>
      <c r="C3427" t="str">
        <f>IFERROR(__xludf.DUMMYFUNCTION("GOOGLETRANSLATE(B3427, ""fr"", ""en"")"),"Good content retention seen my sports business. I am glad")</f>
        <v>Good content retention seen my sports business. I am glad</v>
      </c>
    </row>
    <row r="3428">
      <c r="A3428" s="1">
        <v>5.0</v>
      </c>
      <c r="B3428" s="1" t="s">
        <v>3396</v>
      </c>
      <c r="C3428" t="str">
        <f>IFERROR(__xludf.DUMMYFUNCTION("GOOGLETRANSLATE(B3428, ""fr"", ""en"")"),"very satisfied Weleda is a brand which its reputation is more to do! Product of great quality and very effective if used properly as shown in the instructions! Not a single stretch mark has pointed the tip of his nose")</f>
        <v>very satisfied Weleda is a brand which its reputation is more to do! Product of great quality and very effective if used properly as shown in the instructions! Not a single stretch mark has pointed the tip of his nose</v>
      </c>
    </row>
    <row r="3429">
      <c r="A3429" s="1">
        <v>5.0</v>
      </c>
      <c r="B3429" s="1" t="s">
        <v>3397</v>
      </c>
      <c r="C3429" t="str">
        <f>IFERROR(__xludf.DUMMYFUNCTION("GOOGLETRANSLATE(B3429, ""fr"", ""en"")"),"Sweat Very nice sweater. Withstands washing machine (30 °). plastic")</f>
        <v>Sweat Very nice sweater. Withstands washing machine (30 °). plastic</v>
      </c>
    </row>
    <row r="3430">
      <c r="A3430" s="1">
        <v>5.0</v>
      </c>
      <c r="B3430" s="1" t="s">
        <v>3398</v>
      </c>
      <c r="C3430" t="str">
        <f>IFERROR(__xludf.DUMMYFUNCTION("GOOGLETRANSLATE(B3430, ""fr"", ""en"")"),"Very good headphones I can not compare to high ranges headphones because I've never had possession, but everyone I have had for about the same price (usually 20 €) they are the best. I was pleasantly surprised, I did not expect this quality. I want to cla"&amp;"rify that I use these headphones for listening to music while going to high school, and not at all for game sessions. The pros: - very elegant style while remaining gamer - comply with pictures - long cable - look solid as in the cable as headphones - sma"&amp;"ll magnet on the back of each headphones, which are joined back to back as soon as we let them hang, allowing not to tangle - a microphone with a control button (hang up, pause, move to the next music) and a controller of its very convenient because if go"&amp;"es up down, it can lower the sound without cutting it entirely to hear someone from the outside without having to hang on / off music or remove his headphones - 3 pairs of memory bits comfortable form (green 2 pairs and 1 black pair) - I've already droppe"&amp;"d 2 times without finding impacts - good well-balanced - the small pouch to carry the headphones - the adapter to turn on pc - - when I'm in the bus and there is some noise, people Ave. c which I hear phone as loud my voice as passengers on the other end "&amp;"of the bus, which can be annoying for calls - the connection jack is right (I-L and not like some) so I can not place the phone on the side where the headphones are plugged in if I do not want to damage them - I would have liked a cable shortener be provi"&amp;"ded with as it is a bit long for outdoor use (a small plastic thing that clings to the headphones and on which the cable is wound) - the microphone has a style little cheap, without being, that visually contrast the rest Conclusion: the defects of these h"&amp;"eadphones are mostly personal, which nothing can equal in product quality. This is a very good value for money. The sound is very good, they are comfortable, solid, elegant and cheap. The best I could find so far. And my God, great customer service, and w"&amp;"hat they are funny! (You'll understand when you receive the confirmation email for sending your order) PS: They work very well for the moment, they deteriorate and I find the slightest fault, I would come here and add I would write after how long they hav"&amp;"e occurred. I wrote this review after a week of daily use. UPDATE 02/01/2018: This is it earphones were released today! I have always taken more care, and this morning I noticed that the two headphones not working. It had ~ 2 weeks that they were beginnin"&amp;"g to have a bad contact (put on pause or changed my music alone when I fiddling a bit). Visually, they are very well kept. Magnets have started to slightly remove the paint on the back headphones but it does not show and remains aesthetic. Meanwhile, gree"&amp;"n caps got dirty too quickly crumbled and so I put the black, then I lost a black 2 and size bothered me so I put those silicones (nothing to do, it's much less insulation, but ...). I added photos of their current state after 119 days of daily use. I am "&amp;"glad I tried, I now wonder if I take the same but with the braided wire or if I try another brand ...")</f>
        <v>Very good headphones I can not compare to high ranges headphones because I've never had possession, but everyone I have had for about the same price (usually 20 €) they are the best. I was pleasantly surprised, I did not expect this quality. I want to clarify that I use these headphones for listening to music while going to high school, and not at all for game sessions. The pros: - very elegant style while remaining gamer - comply with pictures - long cable - look solid as in the cable as headphones - small magnet on the back of each headphones, which are joined back to back as soon as we let them hang, allowing not to tangle - a microphone with a control button (hang up, pause, move to the next music) and a controller of its very convenient because if goes up down, it can lower the sound without cutting it entirely to hear someone from the outside without having to hang on / off music or remove his headphones - 3 pairs of memory bits comfortable form (green 2 pairs and 1 black pair) - I've already dropped 2 times without finding impacts - good well-balanced - the small pouch to carry the headphones - the adapter to turn on pc - - when I'm in the bus and there is some noise, people Ave. c which I hear phone as loud my voice as passengers on the other end of the bus, which can be annoying for calls - the connection jack is right (I-L and not like some) so I can not place the phone on the side where the headphones are plugged in if I do not want to damage them - I would have liked a cable shortener be provided with as it is a bit long for outdoor use (a small plastic thing that clings to the headphones and on which the cable is wound) - the microphone has a style little cheap, without being, that visually contrast the rest Conclusion: the defects of these headphones are mostly personal, which nothing can equal in product quality. This is a very good value for money. The sound is very good, they are comfortable, solid, elegant and cheap. The best I could find so far. And my God, great customer service, and what they are funny! (You'll understand when you receive the confirmation email for sending your order) PS: They work very well for the moment, they deteriorate and I find the slightest fault, I would come here and add I would write after how long they have occurred. I wrote this review after a week of daily use. UPDATE 02/01/2018: This is it earphones were released today! I have always taken more care, and this morning I noticed that the two headphones not working. It had ~ 2 weeks that they were beginning to have a bad contact (put on pause or changed my music alone when I fiddling a bit). Visually, they are very well kept. Magnets have started to slightly remove the paint on the back headphones but it does not show and remains aesthetic. Meanwhile, green caps got dirty too quickly crumbled and so I put the black, then I lost a black 2 and size bothered me so I put those silicones (nothing to do, it's much less insulation, but ...). I added photos of their current state after 119 days of daily use. I am glad I tried, I now wonder if I take the same but with the braided wire or if I try another brand ...</v>
      </c>
    </row>
    <row r="3431">
      <c r="A3431" s="1">
        <v>2.0</v>
      </c>
      <c r="B3431" s="1" t="s">
        <v>3399</v>
      </c>
      <c r="C3431" t="str">
        <f>IFERROR(__xludf.DUMMYFUNCTION("GOOGLETRANSLATE(B3431, ""fr"", ""en"")"),"Seams that ... décousent pants conforms both to cut the fabric but seams come apart slowly!")</f>
        <v>Seams that ... décousent pants conforms both to cut the fabric but seams come apart slowly!</v>
      </c>
    </row>
    <row r="3432">
      <c r="A3432" s="1">
        <v>1.0</v>
      </c>
      <c r="B3432" s="1" t="s">
        <v>3400</v>
      </c>
      <c r="C3432" t="str">
        <f>IFERROR(__xludf.DUMMYFUNCTION("GOOGLETRANSLATE(B3432, ""fr"", ""en"")"),"Defective poor sole product comes off")</f>
        <v>Defective poor sole product comes off</v>
      </c>
    </row>
    <row r="3433">
      <c r="A3433" s="1">
        <v>3.0</v>
      </c>
      <c r="B3433" s="1" t="s">
        <v>3401</v>
      </c>
      <c r="C3433" t="str">
        <f>IFERROR(__xludf.DUMMYFUNCTION("GOOGLETRANSLATE(B3433, ""fr"", ""en"")"),"folding table Seeing the video and picture, I feel it is more solid than that, and more manageable I can use Mount Asus professional because it too heavy and the support plate has a solid side, my bar to prevent my USB multi taken, so I make another use, "&amp;"ask my scanner pro, lighter, smaller that I can put different cords")</f>
        <v>folding table Seeing the video and picture, I feel it is more solid than that, and more manageable I can use Mount Asus professional because it too heavy and the support plate has a solid side, my bar to prevent my USB multi taken, so I make another use, ask my scanner pro, lighter, smaller that I can put different cords</v>
      </c>
    </row>
    <row r="3434">
      <c r="A3434" s="1">
        <v>3.0</v>
      </c>
      <c r="B3434" s="1" t="s">
        <v>3402</v>
      </c>
      <c r="C3434" t="str">
        <f>IFERROR(__xludf.DUMMYFUNCTION("GOOGLETRANSLATE(B3434, ""fr"", ""en"")"),"Product convenient BUT Warning resists little time, do not rely on this product for your second child. We had a problem with the first 2 years after the second after two months happily great service Amazon replacement or immediate repayment as warranty! H"&amp;"owever useful, perfect water temperature for the bib, and nice to take the upper part of the product.")</f>
        <v>Product convenient BUT Warning resists little time, do not rely on this product for your second child. We had a problem with the first 2 years after the second after two months happily great service Amazon replacement or immediate repayment as warranty! However useful, perfect water temperature for the bib, and nice to take the upper part of the product.</v>
      </c>
    </row>
    <row r="3435">
      <c r="A3435" s="1">
        <v>4.0</v>
      </c>
      <c r="B3435" s="1" t="s">
        <v>3403</v>
      </c>
      <c r="C3435" t="str">
        <f>IFERROR(__xludf.DUMMYFUNCTION("GOOGLETRANSLATE(B3435, ""fr"", ""en"")"),"Very reliable Very reliable although poile overpriced despite its amount is presented in roll of double-sided sticky labels. This allows the product as indicated for use as an adhesive in more reliable and made with a cleaner.")</f>
        <v>Very reliable Very reliable although poile overpriced despite its amount is presented in roll of double-sided sticky labels. This allows the product as indicated for use as an adhesive in more reliable and made with a cleaner.</v>
      </c>
    </row>
    <row r="3436">
      <c r="A3436" s="1">
        <v>4.0</v>
      </c>
      <c r="B3436" s="1" t="s">
        <v>3404</v>
      </c>
      <c r="C3436" t="str">
        <f>IFERROR(__xludf.DUMMYFUNCTION("GOOGLETRANSLATE(B3436, ""fr"", ""en"")"),"Easy to use, beautiful design controlled lamp for a child primary. Easy of use for switching on / off. variable light intensity, useful. suitable rotation. Length of wire to the wall outlet ok. Welcome USB port. I recommend.")</f>
        <v>Easy to use, beautiful design controlled lamp for a child primary. Easy of use for switching on / off. variable light intensity, useful. suitable rotation. Length of wire to the wall outlet ok. Welcome USB port. I recommend.</v>
      </c>
    </row>
    <row r="3437">
      <c r="A3437" s="1">
        <v>4.0</v>
      </c>
      <c r="B3437" s="1" t="s">
        <v>3405</v>
      </c>
      <c r="C3437" t="str">
        <f>IFERROR(__xludf.DUMMYFUNCTION("GOOGLETRANSLATE(B3437, ""fr"", ""en"")"),"Okay but pilling. Hot as expected. Anti slip as expected. Feeling of walking barefoot almost intact! But pill to death, and quickly. Overall a good product. Provide a size below.")</f>
        <v>Okay but pilling. Hot as expected. Anti slip as expected. Feeling of walking barefoot almost intact! But pill to death, and quickly. Overall a good product. Provide a size below.</v>
      </c>
    </row>
    <row r="3438">
      <c r="A3438" s="1">
        <v>4.0</v>
      </c>
      <c r="B3438" s="1" t="s">
        <v>3406</v>
      </c>
      <c r="C3438" t="str">
        <f>IFERROR(__xludf.DUMMYFUNCTION("GOOGLETRANSLATE(B3438, ""fr"", ""en"")"),"Very chic presentation but I see a friend who is really a fan of infinite form of jewelry since it followed a certain series on television and so I decided to give him this one for christmas celebrations. I received my order quickly and in excellent condi"&amp;"tions and it is the convenience that you as a member amazon bonus, in terms of packaging I think I've done very well to open the box check what is found in it because I very sincerely say little the bottom lies, the schoolboy came in a proper case but ins"&amp;"ide it is presented in a plastic bag and that's really not a guarantee of quality, in short then I took it out of the bag and the schoolboy was full node in the chain, I had to put at least 5 to 0 minutes undo everything to put it right on the little box "&amp;"to give the jewelery side chic. Otherwise the jewelry itself is tr? S pretty and the chain is very thin and discreet, you have several place or tie which allows you to choose the length. So I think this is not bad but really nothing more, sorry.")</f>
        <v>Very chic presentation but I see a friend who is really a fan of infinite form of jewelry since it followed a certain series on television and so I decided to give him this one for christmas celebrations. I received my order quickly and in excellent conditions and it is the convenience that you as a member amazon bonus, in terms of packaging I think I've done very well to open the box check what is found in it because I very sincerely say little the bottom lies, the schoolboy came in a proper case but inside it is presented in a plastic bag and that's really not a guarantee of quality, in short then I took it out of the bag and the schoolboy was full node in the chain, I had to put at least 5 to 0 minutes undo everything to put it right on the little box to give the jewelery side chic. Otherwise the jewelry itself is tr? S pretty and the chain is very thin and discreet, you have several place or tie which allows you to choose the length. So I think this is not bad but really nothing more, sorry.</v>
      </c>
    </row>
    <row r="3439">
      <c r="A3439" s="1">
        <v>5.0</v>
      </c>
      <c r="B3439" s="1" t="s">
        <v>3407</v>
      </c>
      <c r="C3439" t="str">
        <f>IFERROR(__xludf.DUMMYFUNCTION("GOOGLETRANSLATE(B3439, ""fr"", ""en"")"),"I love his work very well")</f>
        <v>I love his work very well</v>
      </c>
    </row>
    <row r="3440">
      <c r="A3440" s="1">
        <v>5.0</v>
      </c>
      <c r="B3440" s="1" t="s">
        <v>3408</v>
      </c>
      <c r="C3440" t="str">
        <f>IFERROR(__xludf.DUMMYFUNCTION("GOOGLETRANSLATE(B3440, ""fr"", ""en"")"),"Hosaire Earrings oreile Women High twist houpe Beautiful! They are bright and light. I love how the earrings juxtaposed move back and forth.")</f>
        <v>Hosaire Earrings oreile Women High twist houpe Beautiful! They are bright and light. I love how the earrings juxtaposed move back and forth.</v>
      </c>
    </row>
    <row r="3441">
      <c r="A3441" s="1">
        <v>5.0</v>
      </c>
      <c r="B3441" s="1" t="s">
        <v>3409</v>
      </c>
      <c r="C3441" t="str">
        <f>IFERROR(__xludf.DUMMYFUNCTION("GOOGLETRANSLATE(B3441, ""fr"", ""en"")"),"Well, no mosquito. very effective night window slightly open or closed mosquito.")</f>
        <v>Well, no mosquito. very effective night window slightly open or closed mosquito.</v>
      </c>
    </row>
    <row r="3442">
      <c r="A3442" s="1">
        <v>5.0</v>
      </c>
      <c r="B3442" s="1" t="s">
        <v>3410</v>
      </c>
      <c r="C3442" t="str">
        <f>IFERROR(__xludf.DUMMYFUNCTION("GOOGLETRANSLATE(B3442, ""fr"", ""en"")"),"Meets Very nice")</f>
        <v>Meets Very nice</v>
      </c>
    </row>
    <row r="3443">
      <c r="A3443" s="1">
        <v>5.0</v>
      </c>
      <c r="B3443" s="1" t="s">
        <v>3411</v>
      </c>
      <c r="C3443" t="str">
        <f>IFERROR(__xludf.DUMMYFUNCTION("GOOGLETRANSLATE(B3443, ""fr"", ""en"")"),"Magical! A must-have. Absolutely DELIGHTED of this product that I just discovered. This is an absolute must-have in household products for the home! I'm pretty shocked its effectiveness, my laundry came out very white while he was graying long ago, missin"&amp;"g tasks so that all products had passed without success there, and it looks like it boosts efficiency laundry because my machine has an absolutely divine smell of fresh clean. I can not find the words so I'm happy.")</f>
        <v>Magical! A must-have. Absolutely DELIGHTED of this product that I just discovered. This is an absolute must-have in household products for the home! I'm pretty shocked its effectiveness, my laundry came out very white while he was graying long ago, missing tasks so that all products had passed without success there, and it looks like it boosts efficiency laundry because my machine has an absolutely divine smell of fresh clean. I can not find the words so I'm happy.</v>
      </c>
    </row>
    <row r="3444">
      <c r="A3444" s="1">
        <v>5.0</v>
      </c>
      <c r="B3444" s="1" t="s">
        <v>3412</v>
      </c>
      <c r="C3444" t="str">
        <f>IFERROR(__xludf.DUMMYFUNCTION("GOOGLETRANSLATE(B3444, ""fr"", ""en"")"),"Very beautiful necklace I am very satisfied with my purchase of this product corresponds exactly to the description and has a very nice effect worn around the neck")</f>
        <v>Very beautiful necklace I am very satisfied with my purchase of this product corresponds exactly to the description and has a very nice effect worn around the neck</v>
      </c>
    </row>
    <row r="3445">
      <c r="A3445" s="1">
        <v>5.0</v>
      </c>
      <c r="B3445" s="1" t="s">
        <v>3413</v>
      </c>
      <c r="C3445" t="str">
        <f>IFERROR(__xludf.DUMMYFUNCTION("GOOGLETRANSLATE(B3445, ""fr"", ""en"")"),"It must support Comme.il bien.je'm a 90D size .it well. I used to make rope guy jumps to jump.")</f>
        <v>It must support Comme.il bien.je'm a 90D size .it well. I used to make rope guy jumps to jump.</v>
      </c>
    </row>
    <row r="3446">
      <c r="A3446" s="1">
        <v>5.0</v>
      </c>
      <c r="B3446" s="1" t="s">
        <v>3414</v>
      </c>
      <c r="C3446" t="str">
        <f>IFERROR(__xludf.DUMMYFUNCTION("GOOGLETRANSLATE(B3446, ""fr"", ""en"")"),"good product Request vigilance so as not to heat the linseed. Slight bit disturbing smell - but is perfect to relax my neck")</f>
        <v>good product Request vigilance so as not to heat the linseed. Slight bit disturbing smell - but is perfect to relax my neck</v>
      </c>
    </row>
    <row r="3447">
      <c r="A3447" s="1">
        <v>5.0</v>
      </c>
      <c r="B3447" s="1" t="s">
        <v>3415</v>
      </c>
      <c r="C3447" t="str">
        <f>IFERROR(__xludf.DUMMYFUNCTION("GOOGLETRANSLATE(B3447, ""fr"", ""en"")"),"Very well ! Effective VGA cable of the classic, which does a very good job!")</f>
        <v>Very well ! Effective VGA cable of the classic, which does a very good job!</v>
      </c>
    </row>
    <row r="3448">
      <c r="A3448" s="1">
        <v>5.0</v>
      </c>
      <c r="B3448" s="1" t="s">
        <v>3416</v>
      </c>
      <c r="C3448" t="str">
        <f>IFERROR(__xludf.DUMMYFUNCTION("GOOGLETRANSLATE(B3448, ""fr"", ""en"")"),"Very good product The product is very much the cable is thick and it is not expensive at all ... I even ordered 2 times!")</f>
        <v>Very good product The product is very much the cable is thick and it is not expensive at all ... I even ordered 2 times!</v>
      </c>
    </row>
    <row r="3449">
      <c r="A3449" s="1">
        <v>5.0</v>
      </c>
      <c r="B3449" s="1" t="s">
        <v>3417</v>
      </c>
      <c r="C3449" t="str">
        <f>IFERROR(__xludf.DUMMYFUNCTION("GOOGLETRANSLATE(B3449, ""fr"", ""en"")"),"Diffuser Diffuser very attractive, quiet and very efficient. A highly recommend.")</f>
        <v>Diffuser Diffuser very attractive, quiet and very efficient. A highly recommend.</v>
      </c>
    </row>
    <row r="3450">
      <c r="A3450" s="1">
        <v>5.0</v>
      </c>
      <c r="B3450" s="1" t="s">
        <v>3418</v>
      </c>
      <c r="C3450" t="str">
        <f>IFERROR(__xludf.DUMMYFUNCTION("GOOGLETRANSLATE(B3450, ""fr"", ""en"")"),"great bag Beautiful color, sturdy bag appreciated by the person to whom I offered; it is great, and very operational !!!")</f>
        <v>great bag Beautiful color, sturdy bag appreciated by the person to whom I offered; it is great, and very operational !!!</v>
      </c>
    </row>
    <row r="3451">
      <c r="A3451" s="1">
        <v>5.0</v>
      </c>
      <c r="B3451" s="1" t="s">
        <v>3419</v>
      </c>
      <c r="C3451" t="str">
        <f>IFERROR(__xludf.DUMMYFUNCTION("GOOGLETRANSLATE(B3451, ""fr"", ""en"")"),"Ravi True to expectations! Would recommend although a little cumbersome but it is a nice G-Shock!")</f>
        <v>Ravi True to expectations! Would recommend although a little cumbersome but it is a nice G-Shock!</v>
      </c>
    </row>
    <row r="3452">
      <c r="A3452" s="1">
        <v>5.0</v>
      </c>
      <c r="B3452" s="1" t="s">
        <v>3420</v>
      </c>
      <c r="C3452" t="str">
        <f>IFERROR(__xludf.DUMMYFUNCTION("GOOGLETRANSLATE(B3452, ""fr"", ""en"")"),"dangling earrings Pretty earrings very stylish. A perfect for. Used for family celebrations. Of the nicest effect.")</f>
        <v>dangling earrings Pretty earrings very stylish. A perfect for. Used for family celebrations. Of the nicest effect.</v>
      </c>
    </row>
    <row r="3453">
      <c r="A3453" s="1">
        <v>5.0</v>
      </c>
      <c r="B3453" s="1" t="s">
        <v>3421</v>
      </c>
      <c r="C3453" t="str">
        <f>IFERROR(__xludf.DUMMYFUNCTION("GOOGLETRANSLATE(B3453, ""fr"", ""en"")"),"More beautiful in real than the picture quality Beautiful fine achievement and class. They make it even better than the picture. System attaches practice and discreet")</f>
        <v>More beautiful in real than the picture quality Beautiful fine achievement and class. They make it even better than the picture. System attaches practice and discreet</v>
      </c>
    </row>
    <row r="3454">
      <c r="A3454" s="1">
        <v>5.0</v>
      </c>
      <c r="B3454" s="1" t="s">
        <v>3422</v>
      </c>
      <c r="C3454" t="str">
        <f>IFERROR(__xludf.DUMMYFUNCTION("GOOGLETRANSLATE(B3454, ""fr"", ""en"")"),"Leggings leggings nice pleasant and comfortable during sports (Zumba) in addition to being quite original")</f>
        <v>Leggings leggings nice pleasant and comfortable during sports (Zumba) in addition to being quite original</v>
      </c>
    </row>
    <row r="3455">
      <c r="A3455" s="1">
        <v>2.0</v>
      </c>
      <c r="B3455" s="1" t="s">
        <v>3423</v>
      </c>
      <c r="C3455" t="str">
        <f>IFERROR(__xludf.DUMMYFUNCTION("GOOGLETRANSLATE(B3455, ""fr"", ""en"")"),"the quality is not there you !!!!!!!!! fleet heel when walking because inside the heel of the shoe is equivalent nylon or matter as is expected of leather !!!!!!!")</f>
        <v>the quality is not there you !!!!!!!!! fleet heel when walking because inside the heel of the shoe is equivalent nylon or matter as is expected of leather !!!!!!!</v>
      </c>
    </row>
    <row r="3456">
      <c r="A3456" s="1">
        <v>1.0</v>
      </c>
      <c r="B3456" s="1" t="s">
        <v>3424</v>
      </c>
      <c r="C3456" t="str">
        <f>IFERROR(__xludf.DUMMYFUNCTION("GOOGLETRANSLATE(B3456, ""fr"", ""en"")"),"Painting and plasterboard torn new this summer painting. One clings to a light string Christmas ripped painting up in the middle of the living room wall. I'm disapointed.")</f>
        <v>Painting and plasterboard torn new this summer painting. One clings to a light string Christmas ripped painting up in the middle of the living room wall. I'm disapointed.</v>
      </c>
    </row>
    <row r="3457">
      <c r="A3457" s="1">
        <v>1.0</v>
      </c>
      <c r="B3457" s="1" t="s">
        <v>3425</v>
      </c>
      <c r="C3457" t="str">
        <f>IFERROR(__xludf.DUMMYFUNCTION("GOOGLETRANSLATE(B3457, ""fr"", ""en"")"),"NO !!!! the broken headphones in the more poop ears in this really is a scam! say I spent 23 euros in a scam I'm really disappointed increasingly wanting to listen to music the part that is put in the phone is broken I highly recommend this product!")</f>
        <v>NO !!!! the broken headphones in the more poop ears in this really is a scam! say I spent 23 euros in a scam I'm really disappointed increasingly wanting to listen to music the part that is put in the phone is broken I highly recommend this product!</v>
      </c>
    </row>
    <row r="3458">
      <c r="A3458" s="1">
        <v>3.0</v>
      </c>
      <c r="B3458" s="1" t="s">
        <v>3426</v>
      </c>
      <c r="C3458" t="str">
        <f>IFERROR(__xludf.DUMMYFUNCTION("GOOGLETRANSLATE(B3458, ""fr"", ""en"")"),"Although Big enough, good quality, but not really black like the picture. anthracite")</f>
        <v>Although Big enough, good quality, but not really black like the picture. anthracite</v>
      </c>
    </row>
    <row r="3459">
      <c r="A3459" s="1">
        <v>4.0</v>
      </c>
      <c r="B3459" s="1" t="s">
        <v>3427</v>
      </c>
      <c r="C3459" t="str">
        <f>IFERROR(__xludf.DUMMYFUNCTION("GOOGLETRANSLATE(B3459, ""fr"", ""en"")"),"I recommend Very nice work well. A bit noisy but it's still reasonable")</f>
        <v>I recommend Very nice work well. A bit noisy but it's still reasonable</v>
      </c>
    </row>
    <row r="3460">
      <c r="A3460" s="1">
        <v>4.0</v>
      </c>
      <c r="B3460" s="1" t="s">
        <v>3428</v>
      </c>
      <c r="C3460" t="str">
        <f>IFERROR(__xludf.DUMMYFUNCTION("GOOGLETRANSLATE(B3460, ""fr"", ""en"")"),"Product evaluation Hello .. Article book August 28, 2018 before the deadline ..well .. it was a gift for my amie..donc him its okay and very happy .. Thanks in advance")</f>
        <v>Product evaluation Hello .. Article book August 28, 2018 before the deadline ..well .. it was a gift for my amie..donc him its okay and very happy .. Thanks in advance</v>
      </c>
    </row>
    <row r="3461">
      <c r="A3461" s="1">
        <v>4.0</v>
      </c>
      <c r="B3461" s="1" t="s">
        <v>3429</v>
      </c>
      <c r="C3461" t="str">
        <f>IFERROR(__xludf.DUMMYFUNCTION("GOOGLETRANSLATE(B3461, ""fr"", ""en"")"),"Although the product is really good, it smells good, it's nice on the skin. The only negative (that is purely subjective) is that there is not enough ball compared to care in itself.")</f>
        <v>Although the product is really good, it smells good, it's nice on the skin. The only negative (that is purely subjective) is that there is not enough ball compared to care in itself.</v>
      </c>
    </row>
    <row r="3462">
      <c r="A3462" s="1">
        <v>4.0</v>
      </c>
      <c r="B3462" s="1" t="s">
        <v>3430</v>
      </c>
      <c r="C3462" t="str">
        <f>IFERROR(__xludf.DUMMYFUNCTION("GOOGLETRANSLATE(B3462, ""fr"", ""en"")"),"I like it Not bad")</f>
        <v>I like it Not bad</v>
      </c>
    </row>
    <row r="3463">
      <c r="A3463" s="1">
        <v>5.0</v>
      </c>
      <c r="B3463" s="1" t="s">
        <v>3431</v>
      </c>
      <c r="C3463" t="str">
        <f>IFERROR(__xludf.DUMMYFUNCTION("GOOGLETRANSLATE(B3463, ""fr"", ""en"")"),"Although Nickel")</f>
        <v>Although Nickel</v>
      </c>
    </row>
    <row r="3464">
      <c r="A3464" s="1">
        <v>5.0</v>
      </c>
      <c r="B3464" s="1" t="s">
        <v>3432</v>
      </c>
      <c r="C3464" t="str">
        <f>IFERROR(__xludf.DUMMYFUNCTION("GOOGLETRANSLATE(B3464, ""fr"", ""en"")"),"THE birth kit! A perfect birth kit, with both glass bottles (this is what is the least toxic), spare pacifiers and pacifier pacifier to put in the maternity suitcase. The teats are well suited to baby, the kit is scalable, perfect for the first month!")</f>
        <v>THE birth kit! A perfect birth kit, with both glass bottles (this is what is the least toxic), spare pacifiers and pacifier pacifier to put in the maternity suitcase. The teats are well suited to baby, the kit is scalable, perfect for the first month!</v>
      </c>
    </row>
    <row r="3465">
      <c r="A3465" s="1">
        <v>5.0</v>
      </c>
      <c r="B3465" s="1" t="s">
        <v>3433</v>
      </c>
      <c r="C3465" t="str">
        <f>IFERROR(__xludf.DUMMYFUNCTION("GOOGLETRANSLATE(B3465, ""fr"", ""en"")"),"Very awesome not bulky practice")</f>
        <v>Very awesome not bulky practice</v>
      </c>
    </row>
    <row r="3466">
      <c r="A3466" s="1">
        <v>5.0</v>
      </c>
      <c r="B3466" s="1" t="s">
        <v>3434</v>
      </c>
      <c r="C3466" t="str">
        <f>IFERROR(__xludf.DUMMYFUNCTION("GOOGLETRANSLATE(B3466, ""fr"", ""en"")"),"very nice, nice I took the XXL size and it will me through the elastic, doing 50/52 the shape and material are comfortable to wear perfect, thank you!")</f>
        <v>very nice, nice I took the XXL size and it will me through the elastic, doing 50/52 the shape and material are comfortable to wear perfect, thank you!</v>
      </c>
    </row>
    <row r="3467">
      <c r="A3467" s="1">
        <v>5.0</v>
      </c>
      <c r="B3467" s="1" t="s">
        <v>3435</v>
      </c>
      <c r="C3467" t="str">
        <f>IFERROR(__xludf.DUMMYFUNCTION("GOOGLETRANSLATE(B3467, ""fr"", ""en"")"),"I love fan of candles: candles candles I put in a lantern and candle heats flat in a candle! (Safety) I light one before falling asleep in a candle, it helps me to join the arms of Morpheus. The LED will never be able to mimic the heat of the flame. And s"&amp;"o these candles there are great !!!!")</f>
        <v>I love fan of candles: candles candles I put in a lantern and candle heats flat in a candle! (Safety) I light one before falling asleep in a candle, it helps me to join the arms of Morpheus. The LED will never be able to mimic the heat of the flame. And so these candles there are great !!!!</v>
      </c>
    </row>
    <row r="3468">
      <c r="A3468" s="1">
        <v>5.0</v>
      </c>
      <c r="B3468" s="1" t="s">
        <v>3436</v>
      </c>
      <c r="C3468" t="str">
        <f>IFERROR(__xludf.DUMMYFUNCTION("GOOGLETRANSLATE(B3468, ""fr"", ""en"")"),"Perfect Not much noise, easy to use, really surprised at the quality of this product I repeat a second later because it is great !!")</f>
        <v>Perfect Not much noise, easy to use, really surprised at the quality of this product I repeat a second later because it is great !!</v>
      </c>
    </row>
    <row r="3469">
      <c r="A3469" s="1">
        <v>5.0</v>
      </c>
      <c r="B3469" s="1" t="s">
        <v>3437</v>
      </c>
      <c r="C3469" t="str">
        <f>IFERROR(__xludf.DUMMYFUNCTION("GOOGLETRANSLATE(B3469, ""fr"", ""en"")"),"a multi-purpose product very effective. I especially love this product because it helps clean up and it is very simple to use. I use it especially in the kitchen and is perfect.")</f>
        <v>a multi-purpose product very effective. I especially love this product because it helps clean up and it is very simple to use. I use it especially in the kitchen and is perfect.</v>
      </c>
    </row>
    <row r="3470">
      <c r="A3470" s="1">
        <v>5.0</v>
      </c>
      <c r="B3470" s="1" t="s">
        <v>3438</v>
      </c>
      <c r="C3470" t="str">
        <f>IFERROR(__xludf.DUMMYFUNCTION("GOOGLETRANSLATE(B3470, ""fr"", ""en"")"),"Nikel My son is delighted Superb")</f>
        <v>Nikel My son is delighted Superb</v>
      </c>
    </row>
    <row r="3471">
      <c r="A3471" s="1">
        <v>5.0</v>
      </c>
      <c r="B3471" s="1" t="s">
        <v>3439</v>
      </c>
      <c r="C3471" t="str">
        <f>IFERROR(__xludf.DUMMYFUNCTION("GOOGLETRANSLATE(B3471, ""fr"", ""en"")"),"Good shows solid Very nice and beefy")</f>
        <v>Good shows solid Very nice and beefy</v>
      </c>
    </row>
    <row r="3472">
      <c r="A3472" s="1">
        <v>5.0</v>
      </c>
      <c r="B3472" s="1" t="s">
        <v>3440</v>
      </c>
      <c r="C3472" t="str">
        <f>IFERROR(__xludf.DUMMYFUNCTION("GOOGLETRANSLATE(B3472, ""fr"", ""en"")"),"Perfect Just perfect I had already bought two pairs and love")</f>
        <v>Perfect Just perfect I had already bought two pairs and love</v>
      </c>
    </row>
    <row r="3473">
      <c r="A3473" s="1">
        <v>5.0</v>
      </c>
      <c r="B3473" s="1" t="s">
        <v>3441</v>
      </c>
      <c r="C3473" t="str">
        <f>IFERROR(__xludf.DUMMYFUNCTION("GOOGLETRANSLATE(B3473, ""fr"", ""en"")"),"Very good quality / price Very nice product, arrived and delivered on time. Comfortable with but also without soles: I have more feelings ""&amp; nbsp; &amp; nbsp barefoot,"" without the insoles. A test to walk on the sand or in the water ... and time!")</f>
        <v>Very good quality / price Very nice product, arrived and delivered on time. Comfortable with but also without soles: I have more feelings "&amp; nbsp; &amp; nbsp barefoot," without the insoles. A test to walk on the sand or in the water ... and time!</v>
      </c>
    </row>
    <row r="3474">
      <c r="A3474" s="1">
        <v>5.0</v>
      </c>
      <c r="B3474" s="1" t="s">
        <v>3442</v>
      </c>
      <c r="C3474" t="str">
        <f>IFERROR(__xludf.DUMMYFUNCTION("GOOGLETRANSLATE(B3474, ""fr"", ""en"")"),"Worthy of a fossil-quality shows it is sublime and conform to its description. Nothing to say to all the time (check in time)")</f>
        <v>Worthy of a fossil-quality shows it is sublime and conform to its description. Nothing to say to all the time (check in time)</v>
      </c>
    </row>
    <row r="3475">
      <c r="A3475" s="1">
        <v>5.0</v>
      </c>
      <c r="B3475" s="1" t="s">
        <v>3443</v>
      </c>
      <c r="C3475" t="str">
        <f>IFERROR(__xludf.DUMMYFUNCTION("GOOGLETRANSLATE(B3475, ""fr"", ""en"")"),"PERFECT great for early learning to read. mute syllable, short and simple words. Small stories ideal for the evening before going to sleep the same learning function so that the school the child is not destabilized.")</f>
        <v>PERFECT great for early learning to read. mute syllable, short and simple words. Small stories ideal for the evening before going to sleep the same learning function so that the school the child is not destabilized.</v>
      </c>
    </row>
    <row r="3476">
      <c r="A3476" s="1">
        <v>5.0</v>
      </c>
      <c r="B3476" s="1" t="s">
        <v>3444</v>
      </c>
      <c r="C3476" t="str">
        <f>IFERROR(__xludf.DUMMYFUNCTION("GOOGLETRANSLATE(B3476, ""fr"", ""en"")"),"Perfect - Delivery on time. Comply with the description.")</f>
        <v>Perfect - Delivery on time. Comply with the description.</v>
      </c>
    </row>
    <row r="3477">
      <c r="A3477" s="1">
        <v>5.0</v>
      </c>
      <c r="B3477" s="1" t="s">
        <v>3445</v>
      </c>
      <c r="C3477" t="str">
        <f>IFERROR(__xludf.DUMMYFUNCTION("GOOGLETRANSLATE(B3477, ""fr"", ""en"")"),"Manageable I'm very happy with this pinking scissors. Easy cutting working to the tip, the cutting precision, good length. What a change with my old chisel very heavy, heavy seas and stiff to maneuver that went to the dump!")</f>
        <v>Manageable I'm very happy with this pinking scissors. Easy cutting working to the tip, the cutting precision, good length. What a change with my old chisel very heavy, heavy seas and stiff to maneuver that went to the dump!</v>
      </c>
    </row>
    <row r="3478">
      <c r="A3478" s="1">
        <v>2.0</v>
      </c>
      <c r="B3478" s="1" t="s">
        <v>3446</v>
      </c>
      <c r="C3478" t="str">
        <f>IFERROR(__xludf.DUMMYFUNCTION("GOOGLETRANSLATE(B3478, ""fr"", ""en"")"),"Vexed I bought one for boy and I found it quite modern, well built. He ciest well built but completely demodé: approach a bit sexist pushing girls to shave, the clitoris is a lil button, the options for the rules are only disposable, short, a worthy conte"&amp;"nt 90s, damage.")</f>
        <v>Vexed I bought one for boy and I found it quite modern, well built. He ciest well built but completely demodé: approach a bit sexist pushing girls to shave, the clitoris is a lil button, the options for the rules are only disposable, short, a worthy content 90s, damage.</v>
      </c>
    </row>
    <row r="3479">
      <c r="A3479" s="1">
        <v>1.0</v>
      </c>
      <c r="B3479" s="1" t="s">
        <v>3447</v>
      </c>
      <c r="C3479" t="str">
        <f>IFERROR(__xludf.DUMMYFUNCTION("GOOGLETRANSLATE(B3479, ""fr"", ""en"")"),"Great disappointment for scrapbooking on black sheet !!!! Hello I was looking for my daughter markers for scrapbooking on black sheets, and photo shown on Amazon is misleading ... we guess just the scriptures as in the photo, they are bright and easy to r"&amp;"ead ... Too bad .. .I would not suggest for this purpose ..")</f>
        <v>Great disappointment for scrapbooking on black sheet !!!! Hello I was looking for my daughter markers for scrapbooking on black sheets, and photo shown on Amazon is misleading ... we guess just the scriptures as in the photo, they are bright and easy to read ... Too bad .. .I would not suggest for this purpose ..</v>
      </c>
    </row>
    <row r="3480">
      <c r="A3480" s="1">
        <v>3.0</v>
      </c>
      <c r="B3480" s="1" t="s">
        <v>3448</v>
      </c>
      <c r="C3480" t="str">
        <f>IFERROR(__xludf.DUMMYFUNCTION("GOOGLETRANSLATE(B3480, ""fr"", ""en"")"),"Not so effective it! Unlike any advertising done on this, I had not tried. A big pot was ideal for having pre convinced I was that Vanish was the most effective anti-stain! Las! I started with a machine program to 30 ° All stains were still there. Unless "&amp;"wash at 60 ° only effective temperature, stains do not go away, but the machine does not pass this high temperature. I managed with my old habits to overcome the tomatoes sauce stains, etc.")</f>
        <v>Not so effective it! Unlike any advertising done on this, I had not tried. A big pot was ideal for having pre convinced I was that Vanish was the most effective anti-stain! Las! I started with a machine program to 30 ° All stains were still there. Unless wash at 60 ° only effective temperature, stains do not go away, but the machine does not pass this high temperature. I managed with my old habits to overcome the tomatoes sauce stains, etc.</v>
      </c>
    </row>
    <row r="3481">
      <c r="A3481" s="1">
        <v>3.0</v>
      </c>
      <c r="B3481" s="1" t="s">
        <v>3449</v>
      </c>
      <c r="C3481" t="str">
        <f>IFERROR(__xludf.DUMMYFUNCTION("GOOGLETRANSLATE(B3481, ""fr"", ""en"")"),"See I have not used in the end because heating baby bottles too long, newborn baby can not wait that long heaters")</f>
        <v>See I have not used in the end because heating baby bottles too long, newborn baby can not wait that long heaters</v>
      </c>
    </row>
    <row r="3482">
      <c r="A3482" s="1">
        <v>4.0</v>
      </c>
      <c r="B3482" s="1" t="s">
        <v>3450</v>
      </c>
      <c r="C3482" t="str">
        <f>IFERROR(__xludf.DUMMYFUNCTION("GOOGLETRANSLATE(B3482, ""fr"", ""en"")"),"Dr. Martins 1460 56 € on Amazon instead of an average price of more than € 140. All is said ! Take tjrs a size below its usual size. If you make the 43, buy 42.")</f>
        <v>Dr. Martins 1460 56 € on Amazon instead of an average price of more than € 140. All is said ! Take tjrs a size below its usual size. If you make the 43, buy 42.</v>
      </c>
    </row>
    <row r="3483">
      <c r="A3483" s="1">
        <v>4.0</v>
      </c>
      <c r="B3483" s="1" t="s">
        <v>3451</v>
      </c>
      <c r="C3483" t="str">
        <f>IFERROR(__xludf.DUMMYFUNCTION("GOOGLETRANSLATE(B3483, ""fr"", ""en"")"),"good Ras")</f>
        <v>good Ras</v>
      </c>
    </row>
    <row r="3484">
      <c r="A3484" s="1">
        <v>4.0</v>
      </c>
      <c r="B3484" s="1" t="s">
        <v>3452</v>
      </c>
      <c r="C3484" t="str">
        <f>IFERROR(__xludf.DUMMYFUNCTION("GOOGLETRANSLATE(B3484, ""fr"", ""en"")"),"I love this comfortable leggings. The material is ultra soft, good elasticity. The colors are beautiful, quality designs. He is doing very well, I am so comfortable in it! I bought two models of the same brand, no regrets. The size is adequate and the pri"&amp;"ce is very correct")</f>
        <v>I love this comfortable leggings. The material is ultra soft, good elasticity. The colors are beautiful, quality designs. He is doing very well, I am so comfortable in it! I bought two models of the same brand, no regrets. The size is adequate and the price is very correct</v>
      </c>
    </row>
    <row r="3485">
      <c r="A3485" s="1">
        <v>4.0</v>
      </c>
      <c r="B3485" s="1" t="s">
        <v>3453</v>
      </c>
      <c r="C3485" t="str">
        <f>IFERROR(__xludf.DUMMYFUNCTION("GOOGLETRANSLATE(B3485, ""fr"", ""en"")"),"Shoe victoria Nothing to say good quality product my daughter'm delighted they are really beautiful")</f>
        <v>Shoe victoria Nothing to say good quality product my daughter'm delighted they are really beautiful</v>
      </c>
    </row>
    <row r="3486">
      <c r="A3486" s="1">
        <v>4.0</v>
      </c>
      <c r="B3486" s="1" t="s">
        <v>3454</v>
      </c>
      <c r="C3486" t="str">
        <f>IFERROR(__xludf.DUMMYFUNCTION("GOOGLETRANSLATE(B3486, ""fr"", ""en"")"),"Very good and pleasant Pleasant and beautiful product.")</f>
        <v>Very good and pleasant Pleasant and beautiful product.</v>
      </c>
    </row>
    <row r="3487">
      <c r="A3487" s="1">
        <v>5.0</v>
      </c>
      <c r="B3487" s="1" t="s">
        <v>3455</v>
      </c>
      <c r="C3487" t="str">
        <f>IFERROR(__xludf.DUMMYFUNCTION("GOOGLETRANSLATE(B3487, ""fr"", ""en"")"),"Sumptuous big fan of the brand and model with a lot I can tell you that this gshock is a must have had urgently Robust, readable practice is just terrible and everything with me every day in extreme situations (work, pool, shower ....) casio congratulatio"&amp;"ns and thank you amazon to find it at a price well below the trade you hesitate? Go for it is splendid")</f>
        <v>Sumptuous big fan of the brand and model with a lot I can tell you that this gshock is a must have had urgently Robust, readable practice is just terrible and everything with me every day in extreme situations (work, pool, shower ....) casio congratulations and thank you amazon to find it at a price well below the trade you hesitate? Go for it is splendid</v>
      </c>
    </row>
    <row r="3488">
      <c r="A3488" s="1">
        <v>5.0</v>
      </c>
      <c r="B3488" s="1" t="s">
        <v>3456</v>
      </c>
      <c r="C3488" t="str">
        <f>IFERROR(__xludf.DUMMYFUNCTION("GOOGLETRANSLATE(B3488, ""fr"", ""en"")"),"For leisure Ideal for all leisure where we risk losing or damaging the watch, such as the pool or beach. It does not break easily, it does not disrupt too, and the backlight can help. Obviously, it does not pass at all in situations where one wants to loo"&amp;"k stylish minimal.")</f>
        <v>For leisure Ideal for all leisure where we risk losing or damaging the watch, such as the pool or beach. It does not break easily, it does not disrupt too, and the backlight can help. Obviously, it does not pass at all in situations where one wants to look stylish minimal.</v>
      </c>
    </row>
    <row r="3489">
      <c r="A3489" s="1">
        <v>5.0</v>
      </c>
      <c r="B3489" s="1" t="s">
        <v>3457</v>
      </c>
      <c r="C3489" t="str">
        <f>IFERROR(__xludf.DUMMYFUNCTION("GOOGLETRANSLATE(B3489, ""fr"", ""en"")"),"Use of the product I am very happy with my tongue scraper; it is very easy to use and fits perfectly in her small linen pouch that I find really too cute it is a little extra that makes the difference with another product.")</f>
        <v>Use of the product I am very happy with my tongue scraper; it is very easy to use and fits perfectly in her small linen pouch that I find really too cute it is a little extra that makes the difference with another product.</v>
      </c>
    </row>
    <row r="3490">
      <c r="A3490" s="1">
        <v>5.0</v>
      </c>
      <c r="B3490" s="1" t="s">
        <v>3458</v>
      </c>
      <c r="C3490" t="str">
        <f>IFERROR(__xludf.DUMMYFUNCTION("GOOGLETRANSLATE(B3490, ""fr"", ""en"")"),"MASSAGE CUSHION TO TRANSPORT EVERYWHERE appreciated gift and used regularly by my friend. Small, but fulfills its functions. I recommend the product.")</f>
        <v>MASSAGE CUSHION TO TRANSPORT EVERYWHERE appreciated gift and used regularly by my friend. Small, but fulfills its functions. I recommend the product.</v>
      </c>
    </row>
    <row r="3491">
      <c r="A3491" s="1">
        <v>5.0</v>
      </c>
      <c r="B3491" s="1" t="s">
        <v>3459</v>
      </c>
      <c r="C3491" t="str">
        <f>IFERROR(__xludf.DUMMYFUNCTION("GOOGLETRANSLATE(B3491, ""fr"", ""en"")"),"I bought this light diffuser to replace my old who dropped me, it's the same, same capacity, same function ... It is simple passes almost unnoticed in the house, not expensive. It's a good compromise.")</f>
        <v>I bought this light diffuser to replace my old who dropped me, it's the same, same capacity, same function ... It is simple passes almost unnoticed in the house, not expensive. It's a good compromise.</v>
      </c>
    </row>
    <row r="3492">
      <c r="A3492" s="1">
        <v>5.0</v>
      </c>
      <c r="B3492" s="1" t="s">
        <v>3460</v>
      </c>
      <c r="C3492" t="str">
        <f>IFERROR(__xludf.DUMMYFUNCTION("GOOGLETRANSLATE(B3492, ""fr"", ""en"")"),"Bic pen pen pen single")</f>
        <v>Bic pen pen pen single</v>
      </c>
    </row>
    <row r="3493">
      <c r="A3493" s="1">
        <v>5.0</v>
      </c>
      <c r="B3493" s="1" t="s">
        <v>3461</v>
      </c>
      <c r="C3493" t="str">
        <f>IFERROR(__xludf.DUMMYFUNCTION("GOOGLETRANSLATE(B3493, ""fr"", ""en"")"),"Kettle useful for any type and temperature management This is clearly a high-end coffee, where you can keep the water warm, his ability is amazing and we MAY INVOLVE years manage the temperature problem on several levels, 70, 80, 09 or 100 degrees dependi"&amp;"ng on its use, which is raremant feasible. I recommend this product without hesitation.")</f>
        <v>Kettle useful for any type and temperature management This is clearly a high-end coffee, where you can keep the water warm, his ability is amazing and we MAY INVOLVE years manage the temperature problem on several levels, 70, 80, 09 or 100 degrees depending on its use, which is raremant feasible. I recommend this product without hesitation.</v>
      </c>
    </row>
    <row r="3494">
      <c r="A3494" s="1">
        <v>5.0</v>
      </c>
      <c r="B3494" s="1" t="s">
        <v>3462</v>
      </c>
      <c r="C3494" t="str">
        <f>IFERROR(__xludf.DUMMYFUNCTION("GOOGLETRANSLATE(B3494, ""fr"", ""en"")"),"well I'm glad item Super fast and quiet, I recommend very attractive price, very pretty in my kitchen!")</f>
        <v>well I'm glad item Super fast and quiet, I recommend very attractive price, very pretty in my kitchen!</v>
      </c>
    </row>
    <row r="3495">
      <c r="A3495" s="1">
        <v>5.0</v>
      </c>
      <c r="B3495" s="1" t="s">
        <v>3463</v>
      </c>
      <c r="C3495" t="str">
        <f>IFERROR(__xludf.DUMMYFUNCTION("GOOGLETRANSLATE(B3495, ""fr"", ""en"")"),"Perfectly satisfied For a very reasonable price this is a beautiful object blending perfectly well with Fossil Q Switch (silver). Very fast delivery, sealed box containing the tools to install this bracelet very easily to the size of your wrist in about t"&amp;"wenty minutes. We'll see with time for overall quality. In any case I am very satisfied and I recommend this wristwatch ... Regards")</f>
        <v>Perfectly satisfied For a very reasonable price this is a beautiful object blending perfectly well with Fossil Q Switch (silver). Very fast delivery, sealed box containing the tools to install this bracelet very easily to the size of your wrist in about twenty minutes. We'll see with time for overall quality. In any case I am very satisfied and I recommend this wristwatch ... Regards</v>
      </c>
    </row>
    <row r="3496">
      <c r="A3496" s="1">
        <v>5.0</v>
      </c>
      <c r="B3496" s="1" t="s">
        <v>3464</v>
      </c>
      <c r="C3496" t="str">
        <f>IFERROR(__xludf.DUMMYFUNCTION("GOOGLETRANSLATE(B3496, ""fr"", ""en"")"),"Slippers for guests Well listen, I was apprehensive given the reviews, but for extra slippers (therefore for transients), they are well, we had no worries! precision: the people I prepared these slippers are not the type to drag their feet when they walk,"&amp;" so this may be why the turnovers remain strong! ;)")</f>
        <v>Slippers for guests Well listen, I was apprehensive given the reviews, but for extra slippers (therefore for transients), they are well, we had no worries! precision: the people I prepared these slippers are not the type to drag their feet when they walk, so this may be why the turnovers remain strong! ;)</v>
      </c>
    </row>
    <row r="3497">
      <c r="A3497" s="1">
        <v>5.0</v>
      </c>
      <c r="B3497" s="1" t="s">
        <v>3465</v>
      </c>
      <c r="C3497" t="str">
        <f>IFERROR(__xludf.DUMMYFUNCTION("GOOGLETRANSLATE(B3497, ""fr"", ""en"")"),"Case Very good product. I bought the set for my gray card and I'm not disappointed. The dimensions are perfect.")</f>
        <v>Case Very good product. I bought the set for my gray card and I'm not disappointed. The dimensions are perfect.</v>
      </c>
    </row>
    <row r="3498">
      <c r="A3498" s="1">
        <v>5.0</v>
      </c>
      <c r="B3498" s="1" t="s">
        <v>3466</v>
      </c>
      <c r="C3498" t="str">
        <f>IFERROR(__xludf.DUMMYFUNCTION("GOOGLETRANSLATE(B3498, ""fr"", ""en"")"),"Quality / Price to top Very pretty jewel, the owner is happy and carried 2 weeks to change his habit. It is money, the collar is thin, it leaves room for this snowflake very pretty.")</f>
        <v>Quality / Price to top Very pretty jewel, the owner is happy and carried 2 weeks to change his habit. It is money, the collar is thin, it leaves room for this snowflake very pretty.</v>
      </c>
    </row>
    <row r="3499">
      <c r="A3499" s="1">
        <v>5.0</v>
      </c>
      <c r="B3499" s="1" t="s">
        <v>3467</v>
      </c>
      <c r="C3499" t="str">
        <f>IFERROR(__xludf.DUMMYFUNCTION("GOOGLETRANSLATE(B3499, ""fr"", ""en"")"),"Radical !!! Using this summer Charentes. Very effective on the first trendy evening in the lounge. It's simple I've realized that the tank was empty one night 1 ½ months after making me bitten by a mosquito. I gave a decision the next time to find them an"&amp;"d no problems !!! It changes our lives in the summer !!!!")</f>
        <v>Radical !!! Using this summer Charentes. Very effective on the first trendy evening in the lounge. It's simple I've realized that the tank was empty one night 1 ½ months after making me bitten by a mosquito. I gave a decision the next time to find them and no problems !!! It changes our lives in the summer !!!!</v>
      </c>
    </row>
    <row r="3500">
      <c r="A3500" s="1">
        <v>5.0</v>
      </c>
      <c r="B3500" s="1" t="s">
        <v>3468</v>
      </c>
      <c r="C3500" t="str">
        <f>IFERROR(__xludf.DUMMYFUNCTION("GOOGLETRANSLATE(B3500, ""fr"", ""en"")"),"Saftey bestboy Jogger safety shoes Item received corresponds to the picture and description. There shoes slightly larger, but with thicker socks it's perfect. Satisfied, I recommend")</f>
        <v>Saftey bestboy Jogger safety shoes Item received corresponds to the picture and description. There shoes slightly larger, but with thicker socks it's perfect. Satisfied, I recommend</v>
      </c>
    </row>
    <row r="3501">
      <c r="A3501" s="1">
        <v>5.0</v>
      </c>
      <c r="B3501" s="1" t="s">
        <v>3469</v>
      </c>
      <c r="C3501" t="str">
        <f>IFERROR(__xludf.DUMMYFUNCTION("GOOGLETRANSLATE(B3501, ""fr"", ""en"")"),"Very informative My niece is delighted with this birthday present")</f>
        <v>Very informative My niece is delighted with this birthday present</v>
      </c>
    </row>
    <row r="3502">
      <c r="A3502" s="1">
        <v>2.0</v>
      </c>
      <c r="B3502" s="1" t="s">
        <v>3470</v>
      </c>
      <c r="C3502" t="str">
        <f>IFERROR(__xludf.DUMMYFUNCTION("GOOGLETRANSLATE(B3502, ""fr"", ""en"")"),"shoes with two protruding soles Delivery was fast, model and color of the shoe was consistent with the description, but the soles of both shoes were peeled in the edges after one week. I was offered to be reimbursed because we could not send me the same s"&amp;"hoes. I preferred repair it with my shoemaker because j'aime bcp model. This is the first and last time I buy shoes online. Too bad. Rozas")</f>
        <v>shoes with two protruding soles Delivery was fast, model and color of the shoe was consistent with the description, but the soles of both shoes were peeled in the edges after one week. I was offered to be reimbursed because we could not send me the same shoes. I preferred repair it with my shoemaker because j'aime bcp model. This is the first and last time I buy shoes online. Too bad. Rozas</v>
      </c>
    </row>
    <row r="3503">
      <c r="A3503" s="1">
        <v>1.0</v>
      </c>
      <c r="B3503" s="1" t="s">
        <v>3471</v>
      </c>
      <c r="C3503" t="str">
        <f>IFERROR(__xludf.DUMMYFUNCTION("GOOGLETRANSLATE(B3503, ""fr"", ""en"")"),"Fake stones The only real stone is the eye of the tiger the rest is plastic")</f>
        <v>Fake stones The only real stone is the eye of the tiger the rest is plastic</v>
      </c>
    </row>
    <row r="3504">
      <c r="A3504" s="1">
        <v>1.0</v>
      </c>
      <c r="B3504" s="1" t="s">
        <v>3472</v>
      </c>
      <c r="C3504" t="str">
        <f>IFERROR(__xludf.DUMMYFUNCTION("GOOGLETRANSLATE(B3504, ""fr"", ""en"")"),"Never ever use works The cable does not work. First use not sound at all I was testing on other instruments and it does not work")</f>
        <v>Never ever use works The cable does not work. First use not sound at all I was testing on other instruments and it does not work</v>
      </c>
    </row>
    <row r="3505">
      <c r="A3505" s="1">
        <v>3.0</v>
      </c>
      <c r="B3505" s="1" t="s">
        <v>3473</v>
      </c>
      <c r="C3505" t="str">
        <f>IFERROR(__xludf.DUMMYFUNCTION("GOOGLETRANSLATE(B3505, ""fr"", ""en"")"),"Take a size in addition to the sleeves Well except that I will have to take the size and more. Otherwise they are very nice.")</f>
        <v>Take a size in addition to the sleeves Well except that I will have to take the size and more. Otherwise they are very nice.</v>
      </c>
    </row>
    <row r="3506">
      <c r="A3506" s="1">
        <v>3.0</v>
      </c>
      <c r="B3506" s="1" t="s">
        <v>3474</v>
      </c>
      <c r="C3506" t="str">
        <f>IFERROR(__xludf.DUMMYFUNCTION("GOOGLETRANSLATE(B3506, ""fr"", ""en"")"),"Good helmet, but not for everyone. I'll be quick about the sound quality: it is very good, very moderate, dynamic ... However, the helmet really caters to a professional audience, said ""field"", so if its robustness and maintenance will delight DJs and s"&amp;"ound engineers, it is less obvious to the general public. To listen to your music sedentary, it is not an ideal choice because much greenhouse, causing pain in the ears after an hour of listening, even without glasses. And portable use, this is not an ide"&amp;"al choice because the insulation is very poor, in both directions, neighbors hear what you hear and you hear a lot outside. I returned for the benefit of MSR-7 from Audio-Technica, which offers the same sound quality (neutrality, dynamics ...) while offer"&amp;"ing improved comfort and versatility. (Including better insulation) In addition, the packaging of this Sennheiser poor, we have the helmet ... and that's it ... no cover, no second cable, nothing ... and the helmet is presented on a piece of cardboard, I "&amp;"felt bound to unwrap an Xbox cat helmet 10 €. To summarize: excellent sound, robust but not very comfortable, nor fully adapted to mobile use or sedentary, scrawny packaging. However, DJs, sound engineers, or even sports will appreciate a neutral sound an"&amp;"d maintaining the perfect head.")</f>
        <v>Good helmet, but not for everyone. I'll be quick about the sound quality: it is very good, very moderate, dynamic ... However, the helmet really caters to a professional audience, said "field", so if its robustness and maintenance will delight DJs and sound engineers, it is less obvious to the general public. To listen to your music sedentary, it is not an ideal choice because much greenhouse, causing pain in the ears after an hour of listening, even without glasses. And portable use, this is not an ideal choice because the insulation is very poor, in both directions, neighbors hear what you hear and you hear a lot outside. I returned for the benefit of MSR-7 from Audio-Technica, which offers the same sound quality (neutrality, dynamics ...) while offering improved comfort and versatility. (Including better insulation) In addition, the packaging of this Sennheiser poor, we have the helmet ... and that's it ... no cover, no second cable, nothing ... and the helmet is presented on a piece of cardboard, I felt bound to unwrap an Xbox cat helmet 10 €. To summarize: excellent sound, robust but not very comfortable, nor fully adapted to mobile use or sedentary, scrawny packaging. However, DJs, sound engineers, or even sports will appreciate a neutral sound and maintaining the perfect head.</v>
      </c>
    </row>
    <row r="3507">
      <c r="A3507" s="1">
        <v>4.0</v>
      </c>
      <c r="B3507" s="1" t="s">
        <v>3475</v>
      </c>
      <c r="C3507" t="str">
        <f>IFERROR(__xludf.DUMMYFUNCTION("GOOGLETRANSLATE(B3507, ""fr"", ""en"")"),"WELL I use many brand eastpak for its strength, especially with backpacks for the children I regret only that the dimensions are a little small and the front pocket is almost unusable because the flap does not allow the open in the back pocket but did not"&amp;" flap and that's good")</f>
        <v>WELL I use many brand eastpak for its strength, especially with backpacks for the children I regret only that the dimensions are a little small and the front pocket is almost unusable because the flap does not allow the open in the back pocket but did not flap and that's good</v>
      </c>
    </row>
    <row r="3508">
      <c r="A3508" s="1">
        <v>4.0</v>
      </c>
      <c r="B3508" s="1" t="s">
        <v>3476</v>
      </c>
      <c r="C3508" t="str">
        <f>IFERROR(__xludf.DUMMYFUNCTION("GOOGLETRANSLATE(B3508, ""fr"", ""en"")"),"Not bad Nickel and light")</f>
        <v>Not bad Nickel and light</v>
      </c>
    </row>
    <row r="3509">
      <c r="A3509" s="1">
        <v>4.0</v>
      </c>
      <c r="B3509" s="1" t="s">
        <v>3477</v>
      </c>
      <c r="C3509" t="str">
        <f>IFERROR(__xludf.DUMMYFUNCTION("GOOGLETRANSLATE(B3509, ""fr"", ""en"")"),"RAS Product compliant and descriptive.")</f>
        <v>RAS Product compliant and descriptive.</v>
      </c>
    </row>
    <row r="3510">
      <c r="A3510" s="1">
        <v>4.0</v>
      </c>
      <c r="B3510" s="1" t="s">
        <v>3478</v>
      </c>
      <c r="C3510" t="str">
        <f>IFERROR(__xludf.DUMMYFUNCTION("GOOGLETRANSLATE(B3510, ""fr"", ""en"")"),"Superb compliant and very jolie..je advises ..moi she leaves me more ..")</f>
        <v>Superb compliant and very jolie..je advises ..moi she leaves me more ..</v>
      </c>
    </row>
    <row r="3511">
      <c r="A3511" s="1">
        <v>5.0</v>
      </c>
      <c r="B3511" s="1" t="s">
        <v>3479</v>
      </c>
      <c r="C3511" t="str">
        <f>IFERROR(__xludf.DUMMYFUNCTION("GOOGLETRANSLATE(B3511, ""fr"", ""en"")"),"Stabilo Original Classic but very good, last long and original colors, I recommend! Too bad it misses the purple highlighter in classical colors.")</f>
        <v>Stabilo Original Classic but very good, last long and original colors, I recommend! Too bad it misses the purple highlighter in classical colors.</v>
      </c>
    </row>
    <row r="3512">
      <c r="A3512" s="1">
        <v>5.0</v>
      </c>
      <c r="B3512" s="1" t="s">
        <v>3480</v>
      </c>
      <c r="C3512" t="str">
        <f>IFERROR(__xludf.DUMMYFUNCTION("GOOGLETRANSLATE(B3512, ""fr"", ""en"")"),"very well written and easy for children very well written and easy for children PERFECT for Christmas")</f>
        <v>very well written and easy for children very well written and easy for children PERFECT for Christmas</v>
      </c>
    </row>
    <row r="3513">
      <c r="A3513" s="1">
        <v>5.0</v>
      </c>
      <c r="B3513" s="1" t="s">
        <v>3481</v>
      </c>
      <c r="C3513" t="str">
        <f>IFERROR(__xludf.DUMMYFUNCTION("GOOGLETRANSLATE(B3513, ""fr"", ""en"")"),"Compatible Epson XP425 I buy these cartridges since qq time. No problem with Epson printers XP425. No marks on the life of the cartridges but at that price and with such a fast delivery (3 days ahead of schedule), I do not ask myself 😁")</f>
        <v>Compatible Epson XP425 I buy these cartridges since qq time. No problem with Epson printers XP425. No marks on the life of the cartridges but at that price and with such a fast delivery (3 days ahead of schedule), I do not ask myself 😁</v>
      </c>
    </row>
    <row r="3514">
      <c r="A3514" s="1">
        <v>5.0</v>
      </c>
      <c r="B3514" s="1" t="s">
        <v>3482</v>
      </c>
      <c r="C3514" t="str">
        <f>IFERROR(__xludf.DUMMYFUNCTION("GOOGLETRANSLATE(B3514, ""fr"", ""en"")"),"My slippers outdoor ... When we saw the TBS Brandy, it's hard to put something, and yes, leather quality and comfort absolute, I can walk three days with non-stop! The small heel provides extra comfort")</f>
        <v>My slippers outdoor ... When we saw the TBS Brandy, it's hard to put something, and yes, leather quality and comfort absolute, I can walk three days with non-stop! The small heel provides extra comfort</v>
      </c>
    </row>
    <row r="3515">
      <c r="A3515" s="1">
        <v>5.0</v>
      </c>
      <c r="B3515" s="1" t="s">
        <v>3483</v>
      </c>
      <c r="C3515" t="str">
        <f>IFERROR(__xludf.DUMMYFUNCTION("GOOGLETRANSLATE(B3515, ""fr"", ""en"")"),"I looove! Impeccable! A must for the model and too practical for the material (leather) They are good even after the assets carried by rain. easy to clean and maintain. I hope to keep a good time!")</f>
        <v>I looove! Impeccable! A must for the model and too practical for the material (leather) They are good even after the assets carried by rain. easy to clean and maintain. I hope to keep a good time!</v>
      </c>
    </row>
    <row r="3516">
      <c r="A3516" s="1">
        <v>5.0</v>
      </c>
      <c r="B3516" s="1" t="s">
        <v>3484</v>
      </c>
      <c r="C3516" t="str">
        <f>IFERROR(__xludf.DUMMYFUNCTION("GOOGLETRANSLATE(B3516, ""fr"", ""en"")"),"Top deodorizes good, cheap, well after the kitchen")</f>
        <v>Top deodorizes good, cheap, well after the kitchen</v>
      </c>
    </row>
    <row r="3517">
      <c r="A3517" s="1">
        <v>5.0</v>
      </c>
      <c r="B3517" s="1" t="s">
        <v>3485</v>
      </c>
      <c r="C3517" t="str">
        <f>IFERROR(__xludf.DUMMYFUNCTION("GOOGLETRANSLATE(B3517, ""fr"", ""en"")"),"Top ! Beautiful color, perfect comfort and quality puma, I am very satisfied with my purchase!")</f>
        <v>Top ! Beautiful color, perfect comfort and quality puma, I am very satisfied with my purchase!</v>
      </c>
    </row>
    <row r="3518">
      <c r="A3518" s="1">
        <v>5.0</v>
      </c>
      <c r="B3518" s="1" t="s">
        <v>3486</v>
      </c>
      <c r="C3518" t="str">
        <f>IFERROR(__xludf.DUMMYFUNCTION("GOOGLETRANSLATE(B3518, ""fr"", ""en"")"),"Lightweight, perfect start to drink alone! A bottle of very light triangular shape with two handles to allow the child to enter and drink alone. The nipple is round, anti-colic with good air circulation. The nipple is soft enough to be very popular with t"&amp;"oddlers. It is a second age teat having three flow velocities. Toddlers love the Mickey design on the body of the bottle. Despite the triangular shape of the bottle, cleaning remains easy, the corners are rounded. I prefer glass bottles to avoid plastic b"&amp;"ut the plastic is a good choice when the child drinks / drinking desires alone. The fact that the bottle is unbreakable makes the desire to Secure autonomy.")</f>
        <v>Lightweight, perfect start to drink alone! A bottle of very light triangular shape with two handles to allow the child to enter and drink alone. The nipple is round, anti-colic with good air circulation. The nipple is soft enough to be very popular with toddlers. It is a second age teat having three flow velocities. Toddlers love the Mickey design on the body of the bottle. Despite the triangular shape of the bottle, cleaning remains easy, the corners are rounded. I prefer glass bottles to avoid plastic but the plastic is a good choice when the child drinks / drinking desires alone. The fact that the bottle is unbreakable makes the desire to Secure autonomy.</v>
      </c>
    </row>
    <row r="3519">
      <c r="A3519" s="1">
        <v>5.0</v>
      </c>
      <c r="B3519" s="1" t="s">
        <v>3487</v>
      </c>
      <c r="C3519" t="str">
        <f>IFERROR(__xludf.DUMMYFUNCTION("GOOGLETRANSLATE(B3519, ""fr"", ""en"")"),"peeled bjr I bought this product, and to date the sole is off the edge can we return mzeci")</f>
        <v>peeled bjr I bought this product, and to date the sole is off the edge can we return mzeci</v>
      </c>
    </row>
    <row r="3520">
      <c r="A3520" s="1">
        <v>5.0</v>
      </c>
      <c r="B3520" s="1" t="s">
        <v>3488</v>
      </c>
      <c r="C3520" t="str">
        <f>IFERROR(__xludf.DUMMYFUNCTION("GOOGLETRANSLATE(B3520, ""fr"", ""en"")"),"Jolie shows Christmas gift for my mom found me beautiful.")</f>
        <v>Jolie shows Christmas gift for my mom found me beautiful.</v>
      </c>
    </row>
    <row r="3521">
      <c r="A3521" s="1">
        <v>5.0</v>
      </c>
      <c r="B3521" s="1" t="s">
        <v>3489</v>
      </c>
      <c r="C3521" t="str">
        <f>IFERROR(__xludf.DUMMYFUNCTION("GOOGLETRANSLATE(B3521, ""fr"", ""en"")"),"The notice of adele &lt;div id = ""video-block-R1OYBJ66D0X13S"" class = ""a-section-spacing-small-spacing has-top video mini-block""&gt; &lt;div tabindex = ""0"" class = "" airy airy-svg vmin-supported airy-skin-beacon ""style ="" background-color: rgb (0, 0, 0); "&amp;"position: relative; width: 100%; height: 100%; font-size: 0px; overflow : hidden; outline: none; ""&gt; &lt;div class ="" airy-renderer-container ""style ="" position: relative; height: 100%; width: 100%; ""&gt; &lt;video id ="" 15 ""preload ="" auto ""src ="" https:"&amp;"//images-eu.ssl-images-amazon.com/images/I/81It75CR4gS.mp4 ""style ="" position: absolute; left: 0px; top: 0px; overflow: hidden; height: 1px ; width: 1px; ""&gt; &lt;/ video&gt; &lt;/ div&gt; &lt;div id ="" airy-slate-preload ""style ="" background-color: rgb (0, 0, 0); b"&amp;"ackground-image: url (&amp; quot; https://images-eu.ssl-images-amazon.com/images/I/81j1RDIj7qS.png&amp;quot;); background-size: contain; background-position: center center; background-repeat: no-repeat; position: absolute ; top: 0px; left: 0px; visibility: visibl"&amp;"e; width: 100%; height: 100% ""&gt; &lt;/ div&gt; &lt;iframe scrolli ng = ""no"" frameborder = ""0"" src = ""about: blank"" style = ""display: none;""&gt; &lt;/ iframe&gt; &lt;div tabindex = ""- 1"" class = ""airy-controls-container"" style = "" opacity: 0; visibility: hidden; "&amp;"""&gt; &lt;div tabindex ="" - 1 ""class ="" airy-screen-size-toggle airy-fullscreen ""&gt; &lt;/ div&gt; &lt;div tabindex ="" - 1 ""class ="" airy-container-bottom "" &gt; &lt;div tabindex = ""- 1"" class = ""airy-track-bar spacer-left"" style = ""width: 11px;""&gt; &lt;/ div&gt; &lt;div ta"&amp;"bindex = ""- 1"" class = ""airy-play- toggle airy-play ""style ="" width: 12px; margin-right: 12px; ""&gt; &lt;/ div&gt; &lt;div tabindex ="" - 1 ""class ="" airy-audio-elements ""style ="" float: right; width: 34px; ""&gt; &lt;div tabindex ="" - 1 ""class ="" airy-audio-t"&amp;"oggle airy-on ""&gt; &lt;/ div&gt; &lt;div tabindex ="" - 1 ""class ="" airy-audio-container ""style = ""opacity: 0; visibility: hidden; ""&gt; &lt;div tabindex ="" - 1 ""class ="" airy-audio-track-bar ""style ="" height: 80%; ""&gt; &lt;div tabindex ="" - 1 ""class ="" airy-aud"&amp;"io- scrubber bar ""style ="" height: 85% ""&gt; &lt;/ div&gt; &lt;div tabindex ="" - 1 ""class ="" airy-audio-scrubber ""style ="" height: 12px; bottom: 85% ""&gt; &lt;/ div&gt; &lt;/ div&gt; &lt;/ div&gt; &lt;/ div&gt; &lt;div tabindex ="" - 1 ""class ="" airy-duration-label ""style ="" float: r"&amp;"ight; width: 26px; margin-right: 4px; text-align: center; ""&gt; 0:05 &lt;/ div&gt; &lt;div tabindex ="" - 1 ""class ="" airy-track-bar spacer-right ""style ="" float: right; width: 11px; ""&gt; &lt;/ div&gt; &lt;div tabindex ="" - 1 ""class ="" airy-track-bar-container ""style "&amp;"="" margin-left: 35px; margin-right: 75px; ""&gt; &lt;div tabindex ="" - 1 ""class ="" airy-airy-track-bar vertical-centering-table ""&gt; &lt;div tabindex ="" - 1 ""class ="" airy-vertical-centering- table-cell ""&gt; &lt;div tabindex ="" - 1 ""class ="" airy-track-bar el"&amp;"ements ""&gt; &lt;div tabindex ="" - 1 ""class ="" airy-progress-bar ""style ="" width: 100%; ""&gt; &lt;/ div&gt; &lt;div tabindex ="" - 1 ""class ="" airy-scrubber bar ""&gt; &lt;/ div&gt; &lt;div tabindex ="" - 1 ""class ="" airy-scrubber ""&gt; &lt;div tabindex ="" - 1 ""class ="" airy-"&amp;"scrubber-icon ""&gt; &lt;/ div&gt; &lt;div tabindex ="" - 1 ""class ="" airy-adjusted-aui-tooltip ""style ="" opacity: 0; visibility: hidden; ""&gt; &lt;div tabindex ="" - 1 ""class ="" airy-adjusted-aui-tooltip-inner ""&gt; &lt;div tabindex ="" - 1 ""class ="" airy-current-time"&amp;"-label ""&gt; 0 00 &lt;/ div&gt; &lt;/ div&gt; &lt;div tabindex = ""- 1"" class = ""airy-adjusted-aui-arrow-border""&gt; &lt;div tabindex = ""- 1"" class = ""airy-adjusted-aui-arrow"" &gt; &lt;/ div&gt; &lt;/ div&gt; &lt;/ div&gt; &lt;/ div&gt; &lt;/ div&gt; &lt;/ div&gt; &lt;/ div&gt; &lt;/ div&gt; &lt;/ div&gt; &lt;/ div&gt; &lt;div tabindex"&amp;" = ""- 1"" class = ""airy-airy-age-gate course airy-vertical-centering table-airy-dialog"" style = ""opacity: 0; visibility: hidden; ""&gt; &lt;div tabindex ="" - 1 ""class ="" airy-age-gate-vertical-centering-table-cell airy-vertical-centering-table-cell ""&gt; &lt;"&amp;"div tabindex ="" - 1 ""class = ""airy-vertical-centering-wrapper airy-age-gate-elements-wrapper""&gt; &lt;div tabindex = ""- 1"" class = ""airy-age-gate-elements airy-dialog-elements""&gt; &lt;div tabindex = "" -1 ""class ="" airy-age-gate-prompt ""&gt; This video is no"&amp;"t Intended for all audiences What time were you born &lt;/ div&gt; &lt;div tabindex =.?"" - 1 ""class ="" airy-age-gate -inputs airy-dialog-inner-elements ""&gt; &lt;select tabindex ="" - 1 ""class ="" airy-age-gate-month ""&gt; &lt;option value ="" 1 ""&gt; January &lt;/ option&gt; &lt;"&amp;"option value ="" 2 ""&gt; February &lt;/ option&gt; &lt;option value ="" 3 ""&gt; March &lt;/ option&gt; &lt;option value ="" 4 ""&gt; April &lt;/ option&gt; &lt;option value ="" 5 ""&gt; May &lt;/ option&gt; &lt;option value = ""6""&gt; June &lt;/ option&gt; &lt;option value = ""7""&gt; July &lt;/ option&gt; &lt;option value"&amp;" = ""8""&gt; August &lt;/ option&gt; &lt;option value = ""9""&gt; September &lt;/ option&gt; &lt;option value = ""10""&gt; October &lt;/ option&gt; &lt;option value = ""11""&gt; November &lt;/ option&gt; &lt;option value = ""12""&gt; December &lt;/ option&gt; &lt;/ select&gt; &lt;select tabindex = ""- 1"" class = ""airy"&amp;"-age-gate-day""&gt; &lt;opti = One value ""1""&gt; 1 &lt;/ option&gt; &lt;option value = ""2""&gt; 2 &lt;/ option&gt; &lt;option value = ""3""&gt; 3 &lt;/ option&gt; &lt;option value = ""4""&gt; 4 &lt;/ option &gt; &lt;option value = ""5""&gt; 5 &lt;/ option&gt; &lt;option value = ""6""&gt; 6 &lt;/ option&gt; &lt;option value = ""7"&amp;"""&gt; 7 &lt;/ option&gt; &lt;option value = ""8""&gt; 8 &lt; / option&gt; &lt;option value = ""9""&gt; 9 &lt;/ option&gt; &lt;option value = ""10""&gt; 10 &lt;/ option&gt; &lt;option value = ""11""&gt; 11 &lt;/ option&gt; &lt;option value = ""12""&gt; 12 &lt;/ option&gt; &lt;option value = ""13""&gt; 13 &lt;/ option&gt; &lt;option value"&amp;" = ""14""&gt; 14 &lt;/ option&gt; &lt;option value = ""15""&gt; 15 &lt;/ option&gt; &lt;option value = ""16 ""&gt; 16 &lt;/ option&gt; &lt;option value ="" 17 ""&gt; 17 &lt;/ option&gt; &lt;option value ="" 18 ""&gt; 18 &lt;/ option&gt; &lt;option value ="" 19 ""&gt; 19 &lt;/ option&gt; &lt;option value = ""20""&gt; 20 &lt;/ option"&amp;"&gt; &lt;option value = ""21""&gt; 21 &lt;/ option&gt; &lt;option value = ""22""&gt; 22 &lt;/ option&gt; &lt;option value = ""23""&gt; 23 &lt;/ option&gt; &lt;option value = ""24""&gt; 24 &lt;/ option&gt; &lt;option value = ""25""&gt; 25 &lt;/ option&gt; &lt;option value = ""26""&gt; 26 &lt;/ option&gt; &lt;option value = ""27""&gt; 2"&amp;"7 &lt;/ option&gt; &lt;option value = ""28""&gt; 28 &lt;/ option&gt; &lt;option value = ""29""&gt; 29 &lt;/ option&gt; &lt;option value = ""30""&gt; 30 &lt;/ option&gt; &lt;option value = ""31""&gt; 31 &lt;/ option&gt; &lt;/ select&gt; &lt;select tabindex = ""- 1"" class = ""airy-age-gate-year""&gt; &lt;option value = ""20"&amp;"19""&gt; 2019 &lt;/ option&gt; &lt; option value = ""2018""&gt; 2018 &lt;/ option&gt; &lt;option value = ""2017""&gt; 2017 &lt;/ option&gt; &lt;option value = ""2016""&gt; ​​2016 &lt;/ option&gt; &lt;option value = ""2015""&gt; 2015 &lt;/ option &gt; &lt;option value = ""2014""&gt; 2014 &lt;/ option&gt; &lt;option value = ""2"&amp;"013""&gt; 2013 &lt;/ option&gt; &lt;option value = ""2012""&gt; 2012 &lt;/ option&gt; &lt;option value = ""2011""&gt; 2011 &lt; / option&gt; &lt;option value = ""2010""&gt; 2010 &lt;/ option&gt; &lt;option value = ""2009""&gt; 2009 &lt;/ option&gt; &lt;option value = ""2008""&gt; 2008 &lt;/ option&gt; &lt;option value = ""200"&amp;"7""&gt; 2007 &lt;/ option&gt; &lt;option value = ""2006""&gt; 2006 &lt;/ option&gt; &lt;option value = ""2005""&gt; 2005 &lt;/ option&gt; &lt;option value = ""2004""&gt; 2004 &lt;/ option&gt; &lt;option value = ""2003 ""&gt; 2003 &lt;/ option&gt; &lt;option value ="" 2002 ""&gt; 2002 &lt;/ option&gt; &lt;option value ="" 2001"&amp;" ""&gt; 2001 &lt;/ option&gt; &lt;option value ="" 2000 ""&gt; 2000 &lt;/ option&gt; &lt;option value = ""1999""&gt; 1999 &lt;/ option&gt; &lt;option value = ""1998""&gt; 1998 &lt;/ option&gt; &lt;option value = ""1997""&gt; 1997 &lt;/ option&gt; &lt;option value = ""1996""&gt; 1996 &lt;/ option&gt; &lt;option value = ""1995"&amp;"""&gt; 1995 &lt;/ option&gt; &lt;option value = ""1994""&gt; 1994 &lt;/ option&gt; &lt;option value = ""1993""&gt; 1993 &lt;/ option&gt; &lt;option value = ""1992""&gt; 1992 &lt;/ option&gt; &lt;option value = ""1991""&gt; 1991 &lt;/ option&gt; &lt;option value = ""1990""&gt; 1990 &lt;/ option&gt; &lt;option value = "" 1989 "&amp;"""&gt; 1989 &lt;/ option&gt; &lt;option value ="" 1988 ""&gt; 1988 &lt;/ option&gt; &lt;option value ="" 1987 ""&gt; 1987 &lt;/ option&gt; &lt;option value ="" 1986 ""&gt; 1986 &lt;/ option&gt; &lt;option value = ""1985""&gt; 1985 &lt;/ option&gt; &lt;option value = ""1984""&gt; 1984 &lt;/ option&gt; &lt;option value = ""1983"&amp;"""&gt; 1983 &lt;/ option&gt; &lt;option value = ""1982""&gt; 1982 &lt;/ option&gt; &lt; option value = ""1981""&gt; 1981 &lt;/ option&gt; &lt;option value = ""1980""&gt; 1980 &lt;/ option&gt; &lt;option value = ""1979""&gt; 1979 &lt;/ option&gt; &lt;option value = ""1978""&gt; 1978 &lt;/ option &gt; &lt;option value = ""1977"&amp;"""&gt; 1977 &lt;/ option&gt; &lt;option value = ""1976""&gt; 1976 &lt;/ option&gt; &lt;option value = ""1975""&gt; 1975 &lt;/ option&gt; &lt;option value = ""1974""&gt; 1974 &lt; / option&gt; &lt;option value = ""1973""&gt; 1973 &lt;/ option&gt; &lt;option value = ""1972""&gt; 1972 &lt;/ option&gt; &lt;option value = ""1971"""&amp;"&gt; 1971 &lt;/ option&gt; &lt;option value = ""1970""&gt; 1970 &lt;/ option&gt; &lt;option value = ""1969""&gt; 1969 &lt;/ option&gt; &lt;option value = ""1968""&gt; 1968 &lt;/ option&gt; &lt;option value = ""1967""&gt; 1967 &lt;/ option&gt; &lt;option value = ""1966 ""&gt; 1966 &lt;/ option&gt; &lt;option value ="" 1965 ""&gt;"&amp;" 1965 &lt;/ option&gt; &lt;option value ="" 1964 ""&gt; 1964 &lt;/ option&gt; &lt;option value ="" 1963 ""&gt; 1963 &lt;/ option&gt; &lt;option value = ""1962""&gt; 1962 &lt;/ option&gt; &lt;option value = ""1961""&gt; 1961 &lt;/ option&gt; &lt;option value = ""1960""&gt; 1960 &lt;/ op tion&gt; &lt;option value = ""1959""&gt;"&amp;" 1959 &lt;/ option&gt; &lt;option value = ""1958""&gt; 1958 &lt;/ option&gt; &lt;option value = ""1957""&gt; 1957 &lt;/ option&gt; &lt;option value = ""1956""&gt; 1956 &lt;/ option&gt; &lt;option value = ""1955""&gt; 1955 &lt;/ option&gt; &lt;option value = ""1954""&gt; 1954 &lt;/ option&gt; &lt;option value = ""1953""&gt; 19"&amp;"53 &lt;/ option&gt; &lt;option value = ""1952"" &gt; 1952 &lt;/ option&gt; &lt;option value = ""1951""&gt; 1951 &lt;/ option&gt; &lt;option value = ""1950""&gt; 1950 &lt;/ option&gt; &lt;option value = ""1949""&gt; 1949 &lt;/ option&gt; &lt;option value = "" 1948 ""&gt; 1948 &lt;/ option&gt; &lt;option value ="" 1947 ""&gt; 1"&amp;"947 &lt;/ option&gt; &lt;option value ="" 1946 ""&gt; 1946 &lt;/ option&gt; &lt;option value ="" 1945 ""&gt; 1945 &lt;/ option&gt; &lt;option value = ""1944""&gt; 1944 &lt;/ option&gt; &lt;option value = ""1943""&gt; 1943 &lt;/ option&gt; &lt;option value = ""1942""&gt; 1942 &lt;/ option&gt; &lt;option value = ""1941""&gt; 19"&amp;"41 &lt;/ option&gt; &lt; option value = ""1940""&gt; 1940 &lt;/ option&gt; &lt;option value = ""1939""&gt; 1939 &lt;/ option&gt; &lt;option value = ""1938""&gt; 1938 &lt;/ option&gt; &lt;option value = ""1937""&gt; 1937 &lt;/ option &gt; &lt;option value = ""1936""&gt; 1936 &lt;/ option&gt; &lt;option value = ""1935""&gt; 193"&amp;"5 &lt;/ option&gt; &lt;option value = ""1934""&gt; 1934 &lt;/ option&gt; &lt;option value = ""1933""&gt; 1933 &lt; / option&gt; &lt;option value = ""1932""&gt; 1932 &lt;/ option&gt; &lt;option value = ""1931""&gt; 1931 &lt;/ option&gt; &lt;option v alue = ""1930""&gt; 1930 &lt;/ option&gt; &lt;option value = ""1929""&gt; 1929"&amp;" &lt;/ option&gt; &lt;option value = ""1928""&gt; 1928 &lt;/ option&gt; &lt;option value = ""1927""&gt; 1927 &lt;/ option&gt; &lt;option value = ""1926""&gt; 1926 &lt;/ option&gt; &lt;option value = ""1925""&gt; 1925 &lt;/ option&gt; &lt;option value = ""1924""&gt; 1924 &lt;/ option&gt; &lt;option value = ""1923""&gt; 1923 &lt;/"&amp;" option&gt; &lt;option value = ""1922""&gt; 1922 &lt;/ option&gt; &lt;option value = ""1921""&gt; 1921 &lt;/ option&gt; &lt;option value = ""1920""&gt; 1920 &lt;/ option&gt; &lt;option value = ""1919""&gt; 1919 &lt;/ option&gt; &lt;option value = ""1918""&gt; 1918 &lt;/ option&gt; &lt;option value = ""1917""&gt; 1917 &lt;/ op"&amp;"tion&gt; &lt;option value = ""1916""&gt; 1916 &lt;/ option&gt; &lt;option value = ""1915"" &gt; 1915 &lt;/ option&gt; &lt;option value = ""1914""&gt; 1914 &lt;/ option&gt; &lt;option value = ""1913""&gt; 1913 &lt;/ option&gt; &lt;option value = ""1912""&gt; 1912 &lt;/ option&gt; &lt;option value = "" 1911 ""&gt; 1911 &lt;/ op"&amp;"tion&gt; &lt;option value ="" 1910 ""&gt; 1910 &lt;/ option&gt; &lt;option value ="" 1909 ""&gt; 1909 &lt;/ option&gt; &lt;option value ="" 1908 ""&gt; 1908 &lt;/ option&gt; &lt;option value = ""1907""&gt; 1907 &lt;/ option&gt; &lt;option value = ""1906""&gt; 1906 &lt;/ option&gt; &lt;option value = ""1905""&gt; 1905 &lt;/ op"&amp;"tion&gt; &lt;option value = ""1904""&gt; 1904 &lt;/ option&gt; &lt; option value = ""1903""&gt; 1903 &lt;/ option&gt; &lt;option value = ""1902""&gt; 1902 &lt;/ option&gt; &lt;option value = ""1901""&gt; 19 01 &lt;/ option&gt; &lt;option value = ""1900""&gt; 1900 &lt;/ option&gt; &lt;/ select&gt; &lt;div tabindex = ""- 1"" cl"&amp;"ass = ""airy-age-gate-submit airy-submit-button airy airy-submit- disabled ""&gt; Submit &lt;/ div&gt; &lt;/ div&gt; &lt;/ div&gt; &lt;/ div&gt; &lt;/ div&gt; &lt;/ div&gt; &lt;div tabindex ="" - 1 ""class ="" airy-install-flash-dialog airy-course airy -Vertical-centering-table dialog airy-airy-d"&amp;"enied ""style ="" opacity: 0; visibility: hidden; ""&gt; &lt;div tabindex ="" - 1 ""class ="" airy-install-flash-vertical-centering-table-cell airy-vertical-centering-table-cell ""&gt; &lt;div tabindex ="" - 1 ""class = ""airy-vertical-centering-wrapper airy-install-"&amp;"flash-elements-wrapper""&gt; &lt;div tabindex = ""- 1"" class = ""airy-install-flash-elements airy-dialog-elements""&gt; &lt;div tabindex = "" -1 ""class ="" airy-install-flash-prompt ""&gt; Adobe Flash Player is required to watch this video &lt;/ div&gt; &lt;div = tabindex."" -"&amp;" 1 ""class ="" airy-install-flash-button-wrapper airy -dialog-inner-elements ""&gt; &lt;div tabindex ="" - 1 ""class ="" airy-install-flash-button airy-button ""&gt; install Flash Player &lt;/ div&gt; &lt;/ div&gt; &lt;/ div&gt; &lt;/ div&gt; &lt;/ div&gt; &lt;/ div&gt; &lt;div tabindex = ""- 1"" class"&amp;" = ""airy-video-unsupported-dialog airy-course airy-vertical-centering table-airy-dialog airy-denied"" style = ""opacity: 0; visibility: hidden; ""&gt; &lt;div tabindex ="" - 1 ""class ="" airy-video-unsupported-vertical-centering-table-cell airy-vertical-cente"&amp;"ring-table-cell ""&gt; &lt;div tabindex ="" - 1 ""class = ""airy-vertical-centering-wrapper airy-video-unsupported-elements-wrapper""&gt; &lt;div tabindex = ""- 1"" class = ""airy-video-unsupported-elements airy-dialog-elements""&gt; &lt;div tabindex = "" -1 ""class ="" ai"&amp;"ry-video-unsupported-prompt ""&gt; &lt;/ div&gt; &lt;/ div&gt; &lt;/ div&gt; &lt;/ div&gt; &lt;/ div&gt; &lt;div tabindex ="" - 1 ""class ="" airy-loading- spinner-stage airy-stage ""&gt; &lt;div tabindex ="" - 1 ""class ="" airy-loading-spinner-vertical-centering-table-cell airy-vertical-centeri"&amp;"ng-table-cell ""&gt; &lt;div tabindex ="" - 1 ""class ="" airy-loading-spinner container airy-scalable-hint-container ""&gt; &lt;div tabindex ="" - 1 ""class ="" airy-loading-spinner-dummy airy-scalable-dummy ""&gt; &lt;/ div&gt; &lt; div tabindex = ""- 1"" class = ""airy-loadin"&amp;"g-spinner airy-hint"" style = ""visibility: hidden;""&gt; &lt;/ div&gt; &lt;/ div&gt; &lt;/ div&gt; &lt;/ div&gt; &lt;div tabindex = ""- 1 ""class ="" airy-ads-screen-size-toggle airy-screen-size-toggle airy-fullscreen ""style ="" visibility: hidden; ""&gt; &lt;/ div&gt; &lt;div tabindex = ""-1"""&amp;" class = ""airy-ad-prompt-container"" style = ""visibility: hidden;""&gt; &lt;div tabindex = ""- 1"" class = ""airy-ad-prompt-vertical-centering table-airy-vertical- centering-table ""&gt; &lt;div tabindex ="" - 1 ""class ="" airy-ad-prompt-vertical-centering-table-c"&amp;"ell airy-vertical-centering-table-cell ""&gt; &lt;div tabindex ="" - 1 ""class = ""airy-ad-prompt-label""&gt; &lt;/ div&gt; &lt;/ div&gt; &lt;/ div&gt; &lt;/ div&gt; &lt;div tabindex = ""- 1"" class = ""airy-ads-controls-container"" style = ""visibility: hidden; ""&gt; &lt;div tabindex ="" - 1 """&amp;"class ="" airy-ads-audio-toggle airy-audio-toggle airy-on ""style ="" visibility: hidden; ""&gt; &lt;/ div&gt; &lt;div tabindex ="" - 1 ""class ="" airy-time-remaining-label-container ""&gt; &lt;div tabindex ="" - 1 ""class ="" airy-time-remaining-vertical-centering table-"&amp;"airy-vertical-centering-table ""&gt; &lt;div tabindex = ""- 1"" class = ""airy-time-remaining-vertical-centering-table-cell airy-vertical-centering-table-cell""&gt; &lt;div tabindex = ""- 1"" class = ""airy-vertical-centering-wrapper airy-time-remaining-label-wrapper"&amp;" ""&gt; &lt;div tabindex ="" - 1 ""class ="" airy-time-remaining-label ""style ="" visibility: hidden; ""&gt; &lt;/ div&gt; &lt;div tabi ndex = ""- 1"" class = ""airy-ad-skip"" style = ""visibility: hidden;""&gt; &lt;/ div&gt; &lt;div tabindex = ""- 1"" class = ""airy-ad-end"" style ="&amp;" ""visibility: hidden; ""&gt; &lt;/ div&gt; &lt;/ div&gt; &lt;/ div&gt; &lt;/ div&gt; &lt;/ div&gt; &lt;div tabindex ="" - 1 ""class ="" airy-learn-more ""style ="" visibility: hidden; ""&gt; &lt;/ div&gt; &lt;/ div&gt; &lt;div tabindex = ""- 1"" class = ""airy-play-toggle-hint-stage airy-course airy-cursor"&amp;"""&gt; &lt;div tabindex = ""- 1"" class = ""airy-play -toggle-hint-vertical-centering-table-cell airy-vertical-centering-table-cell airy-cursor ""&gt; &lt;div tabindex ="" - 1 ""class ="" airy-play-toggle-hint-container airy-scalable- hint-container ""&gt; &lt;div tabindex"&amp;" ="" - 1 ""class ="" airy-play-toggle-hint-dummy airy-scalable-dummy ""&gt; &lt;/ div&gt; &lt;div tabindex ="" - 1 ""class ="" airy-play -toggle airy-hint-hint-hint airy-play ""style ="" opacity: 1; visibility: visible; ""&gt; &lt;/ div&gt; &lt;/ div&gt; &lt;/ div&gt; &lt;/ div&gt; &lt;div tabind"&amp;"ex ="" - 1 ""class ="" airy-replay-hint-stage airy-stage ""style ="" visibility: hidden ; ""&gt; &lt;div tabindex ="" - 1 ""class ="" airy-replay-hint-vertical-centering-table-cell airy-vertical-centering-table-cell airy-cursor ""&gt; &lt;div tabindex ="" - 1 ""class"&amp;" = ""airy-replay-hint-container airy-scalable-hint-container""&gt; &lt;div tabindex = ""- 1"" class = ""airy-replay-hint-dummy airy-scalable-dummy""&gt; &lt;/ div&gt; &lt;div tabindex = ""- 1"" class = ""airy-replay-hint airy-hint""&gt; &lt;/ div&gt; &lt;/ div&gt; &lt;/ div&gt; &lt;/ div&gt; &lt;div ta"&amp;"bindex = ""- 1"" class = ""airy-autoplay-hint -stage airy-stage ""style ="" visibility: hidden; ""&gt; &lt;div tabindex ="" - 1 ""class ="" airy-autoplay-hint-vertical-centering-table-cell airy-vertical-centering-table-cell airy- cursor ""&gt; &lt;div tabindex ="" - "&amp;"1 ""class ="" autoplay airy-airy-hint-container-scalable-hint-container ""&gt; &lt;div tabindex ="" - 1 ""class ="" airy-autoplay-hint-dummy airy- scalable-dummy ""&gt; &lt;/ div&gt; &lt;/ div&gt; &lt;/ div&gt; &lt;/ div&gt; &lt;/ div&gt; &lt;/ div&gt; &lt;input type ="" hidden ""name ="" ""value ="" h"&amp;"ttps: // pictures-eu .ssl-image amazon.com / images / I / 81It75CR4gS.mp4 ""Class ="" video-url ""&gt; &lt;input type ="" hidden ""name ="" ""value ="" https://images-eu.ssl-images-amazon.com/images/I/81j1RDIj7qS.png ""class ="" video-slate-img-url ""&gt; &amp; nbsp; "&amp;"I use the LOTUS wet toilet paper from some time now and I am delighted, ideal for the whole family and children Husband 😂 he were sent to my test and I adopted. After use I feel fresh and clean I recommend 100%. #MomentLotus")</f>
        <v>The notice of adele &lt;div id = "video-block-R1OYBJ66D0X13S" class = "a-section-spacing-small-spacing has-top video mini-block"&gt; &lt;div tabindex = "0" class = " airy airy-svg vmin-supported airy-skin-beacon "style =" background-color: rgb (0, 0, 0); position: relative; width: 100%; height: 100%; font-size: 0px; overflow : hidden; outline: none; "&gt; &lt;div class =" airy-renderer-container "style =" position: relative; height: 100%; width: 100%; "&gt; &lt;video id =" 15 "preload =" auto "src =" https://images-eu.ssl-images-amazon.com/images/I/81It75CR4gS.mp4 "style =" position: absolute; left: 0px; top: 0px; overflow: hidden; height: 1px ; width: 1px; "&gt; &lt;/ video&gt; &lt;/ div&gt; &lt;div id =" airy-slate-preload "style =" background-color: rgb (0, 0, 0); background-image: url (&amp; quot; https://images-eu.ssl-images-amazon.com/images/I/81j1RDIj7qS.png&amp;quot;); background-size: contain; background-position: center center; background-repeat: no-repeat; position: absolute ; top: 0px; left: 0px; visibility: visible; width: 100%; height: 100% "&gt; &lt;/ div&gt; &lt;iframe scrolli ng = "no" frameborder = "0" src = "about: blank" style = "display: none;"&gt; &lt;/ iframe&gt; &lt;div tabindex = "- 1" class = "airy-controls-container" style = " opacity: 0; visibility: hidden; "&gt; &lt;div tabindex =" - 1 "class =" airy-screen-size-toggle airy-fullscreen "&gt; &lt;/ div&gt; &lt;div tabindex =" - 1 "class =" airy-container-bottom " &gt; &lt;div tabindex = "- 1" class = "airy-track-bar spacer-left" style = "width: 11px;"&gt; &lt;/ div&gt; &lt;div tabindex = "- 1" class = "airy-play- toggle airy-play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 bar "style =" height: 85% "&gt; &lt;/ div&gt; &lt;div tabindex =" - 1 "class =" airy-audio-scrubber "style =" height: 12px; bottom: 85% "&gt; &lt;/ div&gt; &lt;/ div&gt; &lt;/ div&gt; &lt;/ div&gt; &lt;div tabindex =" - 1 "class =" airy-duration-label "style =" float: right; width: 26px; margin-right: 4px; text-align: center; "&gt; 0:05 &lt;/ div&gt; &lt;div tabindex =" - 1 "class =" airy-track-bar spacer-right "style =" float: right; width: 11px; "&gt; &lt;/ div&gt; &lt;div tabindex =" - 1 "class =" airy-track-bar-container "style =" margin-left: 35px; margin-right: 75px; "&gt; &lt;div tabindex =" - 1 "class =" airy-airy-track-bar vertical-centering-table "&gt; &lt;div tabindex =" - 1 "class =" airy-vertical-centering- table-cell "&gt; &lt;div tabindex =" - 1 "class =" airy-track-bar elements "&gt; &lt;div tabindex =" - 1 "class =" airy-progress-bar "style =" width: 100%; "&gt; &lt;/ div&gt; &lt;div tabindex =" - 1 "class =" airy-scrubber bar "&gt; &lt;/ div&gt; &lt;div tabindex =" - 1 "class =" airy-scrubber "&gt; &lt;div tabindex =" - 1 "class =" airy-scrubber-icon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"airy-airy-age-gate course airy-vertical-centering table-airy-dialog"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time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 One value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&lt;option value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&lt;option value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&lt;option value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airy-course airy -Vertical-centering-table dialog airy-airy-denied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 tabindex." - 1 "class =" airy-install-flash-button-wrapper airy -dialog-inner-elements "&gt; &lt;div tabindex =" - 1 "class =" airy-install-flash-button airy-button "&gt; install Flash Player &lt;/ div&gt; &lt;/ div&gt; &lt;/ div&gt; &lt;/ div&gt; &lt;/ div&gt; &lt;/ div&gt; &lt;div tabindex = "- 1" class = "airy-video-unsupported-dialog airy-course airy-vertical-centering table-airy-dialog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 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 airy-fullscreen "style =" visibility: hidden; "&gt; &lt;/ div&gt; &lt;div tabindex = "-1" class = "airy-ad-prompt-container" style = "visibility: hidden;"&gt; &lt;div tabindex = "- 1" class = "airy-ad-prompt-vertical-centering table-airy-vertical-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 table-airy-vertical-centering-table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airy-course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 airy-hint-hint-hint airy-play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pictures-eu .ssl-image amazon.com / images / I / 81It75CR4gS.mp4 "Class =" video-url "&gt; &lt;input type =" hidden "name =" "value =" https://images-eu.ssl-images-amazon.com/images/I/81j1RDIj7qS.png "class =" video-slate-img-url "&gt; &amp; nbsp; I use the LOTUS wet toilet paper from some time now and I am delighted, ideal for the whole family and children Husband 😂 he were sent to my test and I adopted. After use I feel fresh and clean I recommend 100%. #MomentLotus</v>
      </c>
    </row>
    <row r="3522">
      <c r="A3522" s="1">
        <v>5.0</v>
      </c>
      <c r="B3522" s="1" t="s">
        <v>3490</v>
      </c>
      <c r="C3522" t="str">
        <f>IFERROR(__xludf.DUMMYFUNCTION("GOOGLETRANSLATE(B3522, ""fr"", ""en"")"),"Super gorgeous, goes with everything, nothing to say, great!")</f>
        <v>Super gorgeous, goes with everything, nothing to say, great!</v>
      </c>
    </row>
    <row r="3523">
      <c r="A3523" s="1">
        <v>5.0</v>
      </c>
      <c r="B3523" s="1" t="s">
        <v>3491</v>
      </c>
      <c r="C3523" t="str">
        <f>IFERROR(__xludf.DUMMYFUNCTION("GOOGLETRANSLATE(B3523, ""fr"", ""en"")"),"Recommends ++ product conforms to the description ... Attention is only suitable for baby bottles anti colliques Closer to nature, with the anti air inside system")</f>
        <v>Recommends ++ product conforms to the description ... Attention is only suitable for baby bottles anti colliques Closer to nature, with the anti air inside system</v>
      </c>
    </row>
    <row r="3524">
      <c r="A3524" s="1">
        <v>5.0</v>
      </c>
      <c r="B3524" s="1" t="s">
        <v>3492</v>
      </c>
      <c r="C3524" t="str">
        <f>IFERROR(__xludf.DUMMYFUNCTION("GOOGLETRANSLATE(B3524, ""fr"", ""en"")"),"Nickel Meets description! 👍🏻")</f>
        <v>Nickel Meets description! 👍🏻</v>
      </c>
    </row>
    <row r="3525">
      <c r="A3525" s="1">
        <v>5.0</v>
      </c>
      <c r="B3525" s="1" t="s">
        <v>3493</v>
      </c>
      <c r="C3525" t="str">
        <f>IFERROR(__xludf.DUMMYFUNCTION("GOOGLETRANSLATE(B3525, ""fr"", ""en"")"),"On Huawei p20 pro works well rode the SC7 used to fed the microphone rode on his smartphone works well no worries. I use a Huawei p20 pro and it is important to know that it takes to download an application called Playstore camera on and go to settings to"&amp;" select external microphone. I explain all its because there are people who understand nothing and instead of seeking the solution his whines because its not working. Nothing to say about the product even rode to run.")</f>
        <v>On Huawei p20 pro works well rode the SC7 used to fed the microphone rode on his smartphone works well no worries. I use a Huawei p20 pro and it is important to know that it takes to download an application called Playstore camera on and go to settings to select external microphone. I explain all its because there are people who understand nothing and instead of seeking the solution his whines because its not working. Nothing to say about the product even rode to run.</v>
      </c>
    </row>
    <row r="3526">
      <c r="A3526" s="1">
        <v>2.0</v>
      </c>
      <c r="B3526" s="1" t="s">
        <v>3494</v>
      </c>
      <c r="C3526" t="str">
        <f>IFERROR(__xludf.DUMMYFUNCTION("GOOGLETRANSLATE(B3526, ""fr"", ""en"")"),"Too much blah, too heavy, every day it is complicated to keep the feet ... To drive, I not even speak, too rigid ..")</f>
        <v>Too much blah, too heavy, every day it is complicated to keep the feet ... To drive, I not even speak, too rigid ..</v>
      </c>
    </row>
    <row r="3527">
      <c r="A3527" s="1">
        <v>1.0</v>
      </c>
      <c r="B3527" s="1" t="s">
        <v>3495</v>
      </c>
      <c r="C3527" t="str">
        <f>IFERROR(__xludf.DUMMYFUNCTION("GOOGLETRANSLATE(B3527, ""fr"", ""en"")"),"Visual wrong Despite the visual display 2017, the block pratic 2016 I received (and will therefore return to Amazon, because what I'm going to a 2nd block 2016 to 3 months of end of the year...).")</f>
        <v>Visual wrong Despite the visual display 2017, the block pratic 2016 I received (and will therefore return to Amazon, because what I'm going to a 2nd block 2016 to 3 months of end of the year...).</v>
      </c>
    </row>
    <row r="3528">
      <c r="A3528" s="1">
        <v>1.0</v>
      </c>
      <c r="B3528" s="1" t="s">
        <v>3496</v>
      </c>
      <c r="C3528" t="str">
        <f>IFERROR(__xludf.DUMMYFUNCTION("GOOGLETRANSLATE(B3528, ""fr"", ""en"")"),"Two pairs instead of three I am very disappointed because I have only received two pairs in my package as the ad says three!")</f>
        <v>Two pairs instead of three I am very disappointed because I have only received two pairs in my package as the ad says three!</v>
      </c>
    </row>
    <row r="3529">
      <c r="A3529" s="1">
        <v>3.0</v>
      </c>
      <c r="B3529" s="1" t="s">
        <v>3497</v>
      </c>
      <c r="C3529" t="str">
        <f>IFERROR(__xludf.DUMMYFUNCTION("GOOGLETRANSLATE(B3529, ""fr"", ""en"")"),"too small even in size 47 it's just, I usually do rather 46.5. I had to make the referral. If not very good, and comfortable")</f>
        <v>too small even in size 47 it's just, I usually do rather 46.5. I had to make the referral. If not very good, and comfortable</v>
      </c>
    </row>
    <row r="3530">
      <c r="A3530" s="1">
        <v>3.0</v>
      </c>
      <c r="B3530" s="1" t="s">
        <v>3498</v>
      </c>
      <c r="C3530" t="str">
        <f>IFERROR(__xludf.DUMMYFUNCTION("GOOGLETRANSLATE(B3530, ""fr"", ""en"")"),"soft and thin blanket a bit small for my taste. good quality but I find it very fine and the portion covering the heating turvy son is too fine and not sewn together ;-( I doubt that the quality withstands time. Very nice brown color and very soft materia"&amp;"l.")</f>
        <v>soft and thin blanket a bit small for my taste. good quality but I find it very fine and the portion covering the heating turvy son is too fine and not sewn together ;-( I doubt that the quality withstands time. Very nice brown color and very soft material.</v>
      </c>
    </row>
    <row r="3531">
      <c r="A3531" s="1">
        <v>4.0</v>
      </c>
      <c r="B3531" s="1" t="s">
        <v>3499</v>
      </c>
      <c r="C3531" t="str">
        <f>IFERROR(__xludf.DUMMYFUNCTION("GOOGLETRANSLATE(B3531, ""fr"", ""en"")"),"Catouches Epson compatible ink cartridges are identical to those from Epson, they are usable despite that do not may know the printer. Tricks to bypass the blockage wanted by Epson are available online. After several weeks of use, they give all satisfacti"&amp;"ons. This is perfect because the value for money is very atractif")</f>
        <v>Catouches Epson compatible ink cartridges are identical to those from Epson, they are usable despite that do not may know the printer. Tricks to bypass the blockage wanted by Epson are available online. After several weeks of use, they give all satisfactions. This is perfect because the value for money is very atractif</v>
      </c>
    </row>
    <row r="3532">
      <c r="A3532" s="1">
        <v>4.0</v>
      </c>
      <c r="B3532" s="1" t="s">
        <v>3500</v>
      </c>
      <c r="C3532" t="str">
        <f>IFERROR(__xludf.DUMMYFUNCTION("GOOGLETRANSLATE(B3532, ""fr"", ""en"")"),"satisfied I like the style and comfort it gives me when I walk in any case I like it well")</f>
        <v>satisfied I like the style and comfort it gives me when I walk in any case I like it well</v>
      </c>
    </row>
    <row r="3533">
      <c r="A3533" s="1">
        <v>4.0</v>
      </c>
      <c r="B3533" s="1" t="s">
        <v>3501</v>
      </c>
      <c r="C3533" t="str">
        <f>IFERROR(__xludf.DUMMYFUNCTION("GOOGLETRANSLATE(B3533, ""fr"", ""en"")"),"Convenient but still expensive Small brush that loving correctly on a table (note the attraction is weak) and clears niquel. Too bad the price is a bit high (9 € without delivery), nevertheless the quality is there, I recommend anyway.")</f>
        <v>Convenient but still expensive Small brush that loving correctly on a table (note the attraction is weak) and clears niquel. Too bad the price is a bit high (9 € without delivery), nevertheless the quality is there, I recommend anyway.</v>
      </c>
    </row>
    <row r="3534">
      <c r="A3534" s="1">
        <v>4.0</v>
      </c>
      <c r="B3534" s="1" t="s">
        <v>3502</v>
      </c>
      <c r="C3534" t="str">
        <f>IFERROR(__xludf.DUMMYFUNCTION("GOOGLETRANSLATE(B3534, ""fr"", ""en"")"),"Great Works great")</f>
        <v>Great Works great</v>
      </c>
    </row>
    <row r="3535">
      <c r="A3535" s="1">
        <v>5.0</v>
      </c>
      <c r="B3535" s="1" t="s">
        <v>3503</v>
      </c>
      <c r="C3535" t="str">
        <f>IFERROR(__xludf.DUMMYFUNCTION("GOOGLETRANSLATE(B3535, ""fr"", ""en"")"),"Pretty nice it feels good inside")</f>
        <v>Pretty nice it feels good inside</v>
      </c>
    </row>
    <row r="3536">
      <c r="A3536" s="1">
        <v>5.0</v>
      </c>
      <c r="B3536" s="1" t="s">
        <v>3504</v>
      </c>
      <c r="C3536" t="str">
        <f>IFERROR(__xludf.DUMMYFUNCTION("GOOGLETRANSLATE(B3536, ""fr"", ""en"")"),"Egal description Ras")</f>
        <v>Egal description Ras</v>
      </c>
    </row>
    <row r="3537">
      <c r="A3537" s="1">
        <v>5.0</v>
      </c>
      <c r="B3537" s="1" t="s">
        <v>3505</v>
      </c>
      <c r="C3537" t="str">
        <f>IFERROR(__xludf.DUMMYFUNCTION("GOOGLETRANSLATE(B3537, ""fr"", ""en"")"),"Perfect Blocker sober and beautiful. Discreet and perfect")</f>
        <v>Perfect Blocker sober and beautiful. Discreet and perfect</v>
      </c>
    </row>
    <row r="3538">
      <c r="A3538" s="1">
        <v>5.0</v>
      </c>
      <c r="B3538" s="1" t="s">
        <v>3506</v>
      </c>
      <c r="C3538" t="str">
        <f>IFERROR(__xludf.DUMMYFUNCTION("GOOGLETRANSLATE(B3538, ""fr"", ""en"")"),"great perfect size! - well covers the entire back - hard heat long - perfect for the lower back rather I recommend this compress linen q'au electric heating pad")</f>
        <v>great perfect size! - well covers the entire back - hard heat long - perfect for the lower back rather I recommend this compress linen q'au electric heating pad</v>
      </c>
    </row>
    <row r="3539">
      <c r="A3539" s="1">
        <v>5.0</v>
      </c>
      <c r="B3539" s="1" t="s">
        <v>3507</v>
      </c>
      <c r="C3539" t="str">
        <f>IFERROR(__xludf.DUMMYFUNCTION("GOOGLETRANSLATE(B3539, ""fr"", ""en"")"),"supercontente of this book for my grandchildren, reading suitable for a beginning PC")</f>
        <v>supercontente of this book for my grandchildren, reading suitable for a beginning PC</v>
      </c>
    </row>
    <row r="3540">
      <c r="A3540" s="1">
        <v>5.0</v>
      </c>
      <c r="B3540" s="1" t="s">
        <v>3508</v>
      </c>
      <c r="C3540" t="str">
        <f>IFERROR(__xludf.DUMMYFUNCTION("GOOGLETRANSLATE(B3540, ""fr"", ""en"")"),"Top Super pretty.")</f>
        <v>Top Super pretty.</v>
      </c>
    </row>
    <row r="3541">
      <c r="A3541" s="1">
        <v>5.0</v>
      </c>
      <c r="B3541" s="1" t="s">
        <v>3509</v>
      </c>
      <c r="C3541" t="str">
        <f>IFERROR(__xludf.DUMMYFUNCTION("GOOGLETRANSLATE(B3541, ""fr"", ""en"")"),"Waste very solid day")</f>
        <v>Waste very solid day</v>
      </c>
    </row>
    <row r="3542">
      <c r="A3542" s="1">
        <v>5.0</v>
      </c>
      <c r="B3542" s="1" t="s">
        <v>3510</v>
      </c>
      <c r="C3542" t="str">
        <f>IFERROR(__xludf.DUMMYFUNCTION("GOOGLETRANSLATE(B3542, ""fr"", ""en"")"),"Top of the top Top notch the top of the best of the best of the best. ... the top of the top. In a word, great!")</f>
        <v>Top of the top Top notch the top of the best of the best of the best. ... the top of the top. In a word, great!</v>
      </c>
    </row>
    <row r="3543">
      <c r="A3543" s="1">
        <v>5.0</v>
      </c>
      <c r="B3543" s="1" t="s">
        <v>3511</v>
      </c>
      <c r="C3543" t="str">
        <f>IFERROR(__xludf.DUMMYFUNCTION("GOOGLETRANSLATE(B3543, ""fr"", ""en"")"),"Matches perfectly brilliant in the image and is very comfortable to wear")</f>
        <v>Matches perfectly brilliant in the image and is very comfortable to wear</v>
      </c>
    </row>
    <row r="3544">
      <c r="A3544" s="1">
        <v>5.0</v>
      </c>
      <c r="B3544" s="1" t="s">
        <v>3512</v>
      </c>
      <c r="C3544" t="str">
        <f>IFERROR(__xludf.DUMMYFUNCTION("GOOGLETRANSLATE(B3544, ""fr"", ""en"")"),"Leggings perfect! I was looking for leggings for winter, but I do not want to fleece well I am delighted. They are thick, but just enough for the cold. The quality is excellent for me. The wide belt pleases me enormously, comfort level is the top. If ther"&amp;"e were more colors, it would have been even sweeter. These leggings are my favorites.")</f>
        <v>Leggings perfect! I was looking for leggings for winter, but I do not want to fleece well I am delighted. They are thick, but just enough for the cold. The quality is excellent for me. The wide belt pleases me enormously, comfort level is the top. If there were more colors, it would have been even sweeter. These leggings are my favorites.</v>
      </c>
    </row>
    <row r="3545">
      <c r="A3545" s="1">
        <v>5.0</v>
      </c>
      <c r="B3545" s="1" t="s">
        <v>3513</v>
      </c>
      <c r="C3545" t="str">
        <f>IFERROR(__xludf.DUMMYFUNCTION("GOOGLETRANSLATE(B3545, ""fr"", ""en"")"),"Perfectly adapted! The shoes are very good. Worn everyday by my son are not deformed and have not slumped. The black remains black. Perfect.")</f>
        <v>Perfectly adapted! The shoes are very good. Worn everyday by my son are not deformed and have not slumped. The black remains black. Perfect.</v>
      </c>
    </row>
    <row r="3546">
      <c r="A3546" s="1">
        <v>5.0</v>
      </c>
      <c r="B3546" s="1" t="s">
        <v>3514</v>
      </c>
      <c r="C3546" t="str">
        <f>IFERROR(__xludf.DUMMYFUNCTION("GOOGLETRANSLATE(B3546, ""fr"", ""en"")"),"Excellent Excellent notebook stand allowing easy adjustment for a better use of it and also to attach the connection cables.")</f>
        <v>Excellent Excellent notebook stand allowing easy adjustment for a better use of it and also to attach the connection cables.</v>
      </c>
    </row>
    <row r="3547">
      <c r="A3547" s="1">
        <v>5.0</v>
      </c>
      <c r="B3547" s="1" t="s">
        <v>3515</v>
      </c>
      <c r="C3547" t="str">
        <f>IFERROR(__xludf.DUMMYFUNCTION("GOOGLETRANSLATE(B3547, ""fr"", ""en"")"),"Perfect beautiful necklace I am delighted")</f>
        <v>Perfect beautiful necklace I am delighted</v>
      </c>
    </row>
    <row r="3548">
      <c r="A3548" s="1">
        <v>5.0</v>
      </c>
      <c r="B3548" s="1" t="s">
        <v>3516</v>
      </c>
      <c r="C3548" t="str">
        <f>IFERROR(__xludf.DUMMYFUNCTION("GOOGLETRANSLATE(B3548, ""fr"", ""en"")"),"Good value for money. For sport and the city. Aesthetics and quality.")</f>
        <v>Good value for money. For sport and the city. Aesthetics and quality.</v>
      </c>
    </row>
    <row r="3549">
      <c r="A3549" s="1">
        <v>5.0</v>
      </c>
      <c r="B3549" s="1" t="s">
        <v>3517</v>
      </c>
      <c r="C3549" t="str">
        <f>IFERROR(__xludf.DUMMYFUNCTION("GOOGLETRANSLATE(B3549, ""fr"", ""en"")"),"LAPASA LEGGING PRODUCT RELATED TO MY EXPECTATIONS. PRETTY leggings SUITABLE FOR SPORTS. GOOD SIZE. FAST DELIVERY. I AM PLEASED WITH MY ORDER.")</f>
        <v>LAPASA LEGGING PRODUCT RELATED TO MY EXPECTATIONS. PRETTY leggings SUITABLE FOR SPORTS. GOOD SIZE. FAST DELIVERY. I AM PLEASED WITH MY ORDER.</v>
      </c>
    </row>
    <row r="3550">
      <c r="A3550" s="1">
        <v>2.0</v>
      </c>
      <c r="B3550" s="1" t="s">
        <v>3518</v>
      </c>
      <c r="C3550" t="str">
        <f>IFERROR(__xludf.DUMMYFUNCTION("GOOGLETRANSLATE(B3550, ""fr"", ""en"")"),"disappointed chain is not like the picture, it is more gray than silver and that's not the same mesh, and the pendant is nice but not worth the price. I will request the return. too expensive for what it is.")</f>
        <v>disappointed chain is not like the picture, it is more gray than silver and that's not the same mesh, and the pendant is nice but not worth the price. I will request the return. too expensive for what it is.</v>
      </c>
    </row>
    <row r="3551">
      <c r="A3551" s="1">
        <v>1.0</v>
      </c>
      <c r="B3551" s="1" t="s">
        <v>3519</v>
      </c>
      <c r="C3551" t="str">
        <f>IFERROR(__xludf.DUMMYFUNCTION("GOOGLETRANSLATE(B3551, ""fr"", ""en"")"),"Backfiring, slightly fragrant, yellowish ... On a reel, you must also purchase a hearing protective helmet because it makes as much noise as firecrackers in a Chinatown street the day of the year ... deafening! This is not a joke! It also has a slight odo"&amp;"r, and is irregular and yellowish ... not sure to use it worth it to save a few euros ... I prefer the roll Tesa transparent")</f>
        <v>Backfiring, slightly fragrant, yellowish ... On a reel, you must also purchase a hearing protective helmet because it makes as much noise as firecrackers in a Chinatown street the day of the year ... deafening! This is not a joke! It also has a slight odor, and is irregular and yellowish ... not sure to use it worth it to save a few euros ... I prefer the roll Tesa transparent</v>
      </c>
    </row>
    <row r="3552">
      <c r="A3552" s="1">
        <v>1.0</v>
      </c>
      <c r="B3552" s="1" t="s">
        <v>3520</v>
      </c>
      <c r="C3552" t="str">
        <f>IFERROR(__xludf.DUMMYFUNCTION("GOOGLETRANSLATE(B3552, ""fr"", ""en"")"),"To avoid dangerous laundry My children and I have irritated skin after using these detergents !!!! I fate of the cloths with my hands. I have itchy skin and immediately buttons. I only use on jackets and coats now to finish them.")</f>
        <v>To avoid dangerous laundry My children and I have irritated skin after using these detergents !!!! I fate of the cloths with my hands. I have itchy skin and immediately buttons. I only use on jackets and coats now to finish them.</v>
      </c>
    </row>
    <row r="3553">
      <c r="A3553" s="1">
        <v>3.0</v>
      </c>
      <c r="B3553" s="1" t="s">
        <v>3521</v>
      </c>
      <c r="C3553" t="str">
        <f>IFERROR(__xludf.DUMMYFUNCTION("GOOGLETRANSLATE(B3553, ""fr"", ""en"")"),"A little disappointed by color. Good quality Disappointed by color. Good quality")</f>
        <v>A little disappointed by color. Good quality Disappointed by color. Good quality</v>
      </c>
    </row>
    <row r="3554">
      <c r="A3554" s="1">
        <v>4.0</v>
      </c>
      <c r="B3554" s="1" t="s">
        <v>3522</v>
      </c>
      <c r="C3554" t="str">
        <f>IFERROR(__xludf.DUMMYFUNCTION("GOOGLETRANSLATE(B3554, ""fr"", ""en"")"),"Unable to unfold only The table is very stable and comfortable but no bar to keep it open completely. Suddenly and saw the weights, I want to correct one to install it, it folds on me ... Can not bring it up alone. Too bad but hey I am very happy anyway")</f>
        <v>Unable to unfold only The table is very stable and comfortable but no bar to keep it open completely. Suddenly and saw the weights, I want to correct one to install it, it folds on me ... Can not bring it up alone. Too bad but hey I am very happy anyway</v>
      </c>
    </row>
    <row r="3555">
      <c r="A3555" s="1">
        <v>4.0</v>
      </c>
      <c r="B3555" s="1" t="s">
        <v>3523</v>
      </c>
      <c r="C3555" t="str">
        <f>IFERROR(__xludf.DUMMYFUNCTION("GOOGLETRANSLATE(B3555, ""fr"", ""en"")"),"Levi's T-shirt boy ... Super Quality / Price ... Size a little big, but good ....")</f>
        <v>Levi's T-shirt boy ... Super Quality / Price ... Size a little big, but good ....</v>
      </c>
    </row>
    <row r="3556">
      <c r="A3556" s="1">
        <v>4.0</v>
      </c>
      <c r="B3556" s="1" t="s">
        <v>3524</v>
      </c>
      <c r="C3556" t="str">
        <f>IFERROR(__xludf.DUMMYFUNCTION("GOOGLETRANSLATE(B3556, ""fr"", ""en"")"),"light and beautiful Things are heating up a little big I play 42 and I still manage to move the thumb in the heel for the one who makes the 42 is better that he buys 41")</f>
        <v>light and beautiful Things are heating up a little big I play 42 and I still manage to move the thumb in the heel for the one who makes the 42 is better that he buys 41</v>
      </c>
    </row>
    <row r="3557">
      <c r="A3557" s="1">
        <v>4.0</v>
      </c>
      <c r="B3557" s="1" t="s">
        <v>3525</v>
      </c>
      <c r="C3557" t="str">
        <f>IFERROR(__xludf.DUMMYFUNCTION("GOOGLETRANSLATE(B3557, ""fr"", ""en"")"),"Discreet Just as I wanted.")</f>
        <v>Discreet Just as I wanted.</v>
      </c>
    </row>
    <row r="3558">
      <c r="A3558" s="1">
        <v>5.0</v>
      </c>
      <c r="B3558" s="1" t="s">
        <v>3526</v>
      </c>
      <c r="C3558" t="str">
        <f>IFERROR(__xludf.DUMMYFUNCTION("GOOGLETRANSLATE(B3558, ""fr"", ""en"")"),"Great deal. Good quality. Various sizes. Received on time")</f>
        <v>Great deal. Good quality. Various sizes. Received on time</v>
      </c>
    </row>
    <row r="3559">
      <c r="A3559" s="1">
        <v>5.0</v>
      </c>
      <c r="B3559" s="1" t="s">
        <v>3527</v>
      </c>
      <c r="C3559" t="str">
        <f>IFERROR(__xludf.DUMMYFUNCTION("GOOGLETRANSLATE(B3559, ""fr"", ""en"")"),"So sing! I have nothing to say frankly, it's a great device that premet taken to make its fantastic. Awesome. I recommend Easy to set up. The many adjustments are made directly on the microphone. It really facilitates use. The support is solid, plastic of"&amp;" good quality.")</f>
        <v>So sing! I have nothing to say frankly, it's a great device that premet taken to make its fantastic. Awesome. I recommend Easy to set up. The many adjustments are made directly on the microphone. It really facilitates use. The support is solid, plastic of good quality.</v>
      </c>
    </row>
    <row r="3560">
      <c r="A3560" s="1">
        <v>5.0</v>
      </c>
      <c r="B3560" s="1" t="s">
        <v>3528</v>
      </c>
      <c r="C3560" t="str">
        <f>IFERROR(__xludf.DUMMYFUNCTION("GOOGLETRANSLATE(B3560, ""fr"", ""en"")"),"USB Midi Interface Simple, effective, and works perfectly, only regret, the cable length (already 2m) could make one more.")</f>
        <v>USB Midi Interface Simple, effective, and works perfectly, only regret, the cable length (already 2m) could make one more.</v>
      </c>
    </row>
    <row r="3561">
      <c r="A3561" s="1">
        <v>5.0</v>
      </c>
      <c r="B3561" s="1" t="s">
        <v>3529</v>
      </c>
      <c r="C3561" t="str">
        <f>IFERROR(__xludf.DUMMYFUNCTION("GOOGLETRANSLATE(B3561, ""fr"", ""en"")"),"Superb Bag This is a very nice article, excellent finishes, trendy, full of pockets, tightly closed, shoulder lining, large capacity I suisvraiment happy")</f>
        <v>Superb Bag This is a very nice article, excellent finishes, trendy, full of pockets, tightly closed, shoulder lining, large capacity I suisvraiment happy</v>
      </c>
    </row>
    <row r="3562">
      <c r="A3562" s="1">
        <v>5.0</v>
      </c>
      <c r="B3562" s="1" t="s">
        <v>3530</v>
      </c>
      <c r="C3562" t="str">
        <f>IFERROR(__xludf.DUMMYFUNCTION("GOOGLETRANSLATE(B3562, ""fr"", ""en"")"),"AMAZING SIMPLICITY There are essentially: time, date, stopwatch, timer, alarm, dual time. You can ring the watch or vibrate. And the settings are childish. The data are very readable. Frankly for the price, there is no hesitation")</f>
        <v>AMAZING SIMPLICITY There are essentially: time, date, stopwatch, timer, alarm, dual time. You can ring the watch or vibrate. And the settings are childish. The data are very readable. Frankly for the price, there is no hesitation</v>
      </c>
    </row>
    <row r="3563">
      <c r="A3563" s="1">
        <v>5.0</v>
      </c>
      <c r="B3563" s="1" t="s">
        <v>3531</v>
      </c>
      <c r="C3563" t="str">
        <f>IFERROR(__xludf.DUMMYFUNCTION("GOOGLETRANSLATE(B3563, ""fr"", ""en"")"),"TOP Always on top the Nuk soothers, my girls love. In addition they are solid. Much better than the teats of the Tigex brand")</f>
        <v>TOP Always on top the Nuk soothers, my girls love. In addition they are solid. Much better than the teats of the Tigex brand</v>
      </c>
    </row>
    <row r="3564">
      <c r="A3564" s="1">
        <v>5.0</v>
      </c>
      <c r="B3564" s="1" t="s">
        <v>3532</v>
      </c>
      <c r="C3564" t="str">
        <f>IFERROR(__xludf.DUMMYFUNCTION("GOOGLETRANSLATE(B3564, ""fr"", ""en"")"),"Perfect Perfect. They take very well. This is really sock sport. I'm so happy that I just recommend 3 Lot 3. Definitely recommended.")</f>
        <v>Perfect Perfect. They take very well. This is really sock sport. I'm so happy that I just recommend 3 Lot 3. Definitely recommended.</v>
      </c>
    </row>
    <row r="3565">
      <c r="A3565" s="1">
        <v>5.0</v>
      </c>
      <c r="B3565" s="1" t="s">
        <v>3533</v>
      </c>
      <c r="C3565" t="str">
        <f>IFERROR(__xludf.DUMMYFUNCTION("GOOGLETRANSLATE(B3565, ""fr"", ""en"")"),"Casio CTK-1500 power supply This eliminates the need for batteries on the piano Casio CTK-1500.")</f>
        <v>Casio CTK-1500 power supply This eliminates the need for batteries on the piano Casio CTK-1500.</v>
      </c>
    </row>
    <row r="3566">
      <c r="A3566" s="1">
        <v>5.0</v>
      </c>
      <c r="B3566" s="1" t="s">
        <v>3534</v>
      </c>
      <c r="C3566" t="str">
        <f>IFERROR(__xludf.DUMMYFUNCTION("GOOGLETRANSLATE(B3566, ""fr"", ""en"")"),"Complies Complies and fast delivery.")</f>
        <v>Complies Complies and fast delivery.</v>
      </c>
    </row>
    <row r="3567">
      <c r="A3567" s="1">
        <v>5.0</v>
      </c>
      <c r="B3567" s="1" t="s">
        <v>3535</v>
      </c>
      <c r="C3567" t="str">
        <f>IFERROR(__xludf.DUMMYFUNCTION("GOOGLETRANSLATE(B3567, ""fr"", ""en"")"),"To recommend! Bravo! I can only recommend this product that meets my expectations. I had looked at prior comparative with other colored pencils brands presented by two YouTubers which highlighted the quality of the Castle pencils. I admit I was a bit worr"&amp;"ied given the attractive price. Well, yes, it's true! the Castle pencils are of almost equal quality to Faber Castell and Caran d'Ache which I also have, for such a lower price. The price / quality ratio is exceptional. I love the smell once you open the "&amp;"box. And then have 120 colors is pure happiness for me. The box was delivered quickly and in perfect condition. I discovered that the pencils were guaranteed for life which is reassuring. The texture of the mine is very nice and very covering. Congratulat"&amp;"ions to the leaders of this brand.")</f>
        <v>To recommend! Bravo! I can only recommend this product that meets my expectations. I had looked at prior comparative with other colored pencils brands presented by two YouTubers which highlighted the quality of the Castle pencils. I admit I was a bit worried given the attractive price. Well, yes, it's true! the Castle pencils are of almost equal quality to Faber Castell and Caran d'Ache which I also have, for such a lower price. The price / quality ratio is exceptional. I love the smell once you open the box. And then have 120 colors is pure happiness for me. The box was delivered quickly and in perfect condition. I discovered that the pencils were guaranteed for life which is reassuring. The texture of the mine is very nice and very covering. Congratulations to the leaders of this brand.</v>
      </c>
    </row>
    <row r="3568">
      <c r="A3568" s="1">
        <v>5.0</v>
      </c>
      <c r="B3568" s="1" t="s">
        <v>3536</v>
      </c>
      <c r="C3568" t="str">
        <f>IFERROR(__xludf.DUMMYFUNCTION("GOOGLETRANSLATE(B3568, ""fr"", ""en"")"),"NICKEL ... I love beautiful. They are so pretty. Only downside they carve big. I put on the 41 and they are too large but really beautiful chouille. Rub a little tendon at the first day but the second day it was better. I recommend")</f>
        <v>NICKEL ... I love beautiful. They are so pretty. Only downside they carve big. I put on the 41 and they are too large but really beautiful chouille. Rub a little tendon at the first day but the second day it was better. I recommend</v>
      </c>
    </row>
    <row r="3569">
      <c r="A3569" s="1">
        <v>5.0</v>
      </c>
      <c r="B3569" s="1" t="s">
        <v>3537</v>
      </c>
      <c r="C3569" t="str">
        <f>IFERROR(__xludf.DUMMYFUNCTION("GOOGLETRANSLATE(B3569, ""fr"", ""en"")"),"Nice shoes Very comfortable, stylish, nice color and nice. Shoes large, take a size below the usual size")</f>
        <v>Nice shoes Very comfortable, stylish, nice color and nice. Shoes large, take a size below the usual size</v>
      </c>
    </row>
    <row r="3570">
      <c r="A3570" s="1">
        <v>5.0</v>
      </c>
      <c r="B3570" s="1" t="s">
        <v>3538</v>
      </c>
      <c r="C3570" t="str">
        <f>IFERROR(__xludf.DUMMYFUNCTION("GOOGLETRANSLATE(B3570, ""fr"", ""en"")"),"It is super super disappointed jadore I thank you I recommend you very good quality and cheap brand")</f>
        <v>It is super super disappointed jadore I thank you I recommend you very good quality and cheap brand</v>
      </c>
    </row>
    <row r="3571">
      <c r="A3571" s="1">
        <v>5.0</v>
      </c>
      <c r="B3571" s="1" t="s">
        <v>3539</v>
      </c>
      <c r="C3571" t="str">
        <f>IFERROR(__xludf.DUMMYFUNCTION("GOOGLETRANSLATE(B3571, ""fr"", ""en"")"),"Essential oil diffuser &lt;div id = ""video-block-RW1M597FSFFKR"" class = ""a-section-spacing-small-spacing has-top video mini-block""&gt; &lt;/ div&gt; &lt;input type = ""hidden"" name = """" value = ""https://images-eu.ssl-images-amazon.com/images/I/A1P6AOb5ULS.mp4"" "&amp;"class = ""video-url""&gt; &lt;input type = ""hidden"" name = """" value = ""https://images-eu.ssl-images-amazon.com/images/I/71-A0lB0bBS.png"" class = ""video-slate-img-url""&gt; &amp; nbsp; Purchased to replace a shape tastes of well-known water but has strength to h"&amp;"is small tank that happens more to clean because of its the material has a very large tank, programmable for 1 hour, 3 and 6 o'clock and light ring is a very nice effect There is a beautiful mist that comes out when it is on and we feel very quickly the a"&amp;"roma of the oil that has been established the color goes very well with our TV stand :)")</f>
        <v>Essential oil diffuser &lt;div id = "video-block-RW1M597FSFFKR" class = "a-section-spacing-small-spacing has-top video mini-block"&gt; &lt;/ div&gt; &lt;input type = "hidden" name = "" value = "https://images-eu.ssl-images-amazon.com/images/I/A1P6AOb5ULS.mp4" class = "video-url"&gt; &lt;input type = "hidden" name = "" value = "https://images-eu.ssl-images-amazon.com/images/I/71-A0lB0bBS.png" class = "video-slate-img-url"&gt; &amp; nbsp; Purchased to replace a shape tastes of well-known water but has strength to his small tank that happens more to clean because of its the material has a very large tank, programmable for 1 hour, 3 and 6 o'clock and light ring is a very nice effect There is a beautiful mist that comes out when it is on and we feel very quickly the aroma of the oil that has been established the color goes very well with our TV stand :)</v>
      </c>
    </row>
    <row r="3572">
      <c r="A3572" s="1">
        <v>5.0</v>
      </c>
      <c r="B3572" s="1" t="s">
        <v>3540</v>
      </c>
      <c r="C3572" t="str">
        <f>IFERROR(__xludf.DUMMYFUNCTION("GOOGLETRANSLATE(B3572, ""fr"", ""en"")"),"Superb classic watch LCD Okay this quality Casio, efficient and above all easy to use, bracelet and mount ok, no complaints!")</f>
        <v>Superb classic watch LCD Okay this quality Casio, efficient and above all easy to use, bracelet and mount ok, no complaints!</v>
      </c>
    </row>
    <row r="3573">
      <c r="A3573" s="1">
        <v>2.0</v>
      </c>
      <c r="B3573" s="1" t="s">
        <v>3541</v>
      </c>
      <c r="C3573" t="str">
        <f>IFERROR(__xludf.DUMMYFUNCTION("GOOGLETRANSLATE(B3573, ""fr"", ""en"")"),"Abuse of control and poor quality I do not recommend this purchase; controlled 41-42, 39-40 received, strap on a tong which is unhooked due to a manufacturing problem, poor quality plastic.")</f>
        <v>Abuse of control and poor quality I do not recommend this purchase; controlled 41-42, 39-40 received, strap on a tong which is unhooked due to a manufacturing problem, poor quality plastic.</v>
      </c>
    </row>
    <row r="3574">
      <c r="A3574" s="1">
        <v>1.0</v>
      </c>
      <c r="B3574" s="1" t="s">
        <v>3542</v>
      </c>
      <c r="C3574" t="str">
        <f>IFERROR(__xludf.DUMMYFUNCTION("GOOGLETRANSLATE(B3574, ""fr"", ""en"")"),"End disappointed disappointed disappointed! no, not to buy. ultrathin fabric. No small pads. I'm so disappointed")</f>
        <v>End disappointed disappointed disappointed! no, not to buy. ultrathin fabric. No small pads. I'm so disappointed</v>
      </c>
    </row>
    <row r="3575">
      <c r="A3575" s="1">
        <v>3.0</v>
      </c>
      <c r="B3575" s="1" t="s">
        <v>3543</v>
      </c>
      <c r="C3575" t="str">
        <f>IFERROR(__xludf.DUMMYFUNCTION("GOOGLETRANSLATE(B3575, ""fr"", ""en"")"),"serves as a pilot and also wants a working tool, but it's Chinese .... I already bought in the past, a globe a little bigger, but over time, the wars, the contours of the new countries and their names ... a globe, it evolves like anything. There, arrived "&amp;"in a beautiful box with a look of child who seems amazed, so I opened it to find a previously installed content with his decision and LED replacement bulb. At first I found the meeting at the equator of the two parts of the globe was rude as if both parti"&amp;"es were wrong nested. The rest seemed a Chinese style building cheap, sold still almost 34 euros and when I turned, I found the lighting a little ""weakling"". Certainly we can use it as a nightlight in a child's room, but two levels of illumination, as a"&amp;" pilot and the other harder, to work on the globe at night, I would seem more appropriate. The small green light retrieves the switch easily. Overall, I am disappointed by this product makes ""very cheap!"" Overall Rating: 6.5 / 10 - in a pinch .... I lov"&amp;"e maps, globes. I had one, bigger for my children, too, now, I have given. This 21 cm is perfect and importantly, it's magic: Globe the day, which made me travel and night 88 constellations with a pretty sky blue, it serves as a night light very soft in a"&amp;" room, designs and names are, despite the soft light, very legible. The button has a small bright green dot, easily found in the dark. Capitals and countries are written very readable some way, very small with a long name is not written in full. I have so"&amp;"me of my small -children who travel a lot, right now in a very small African country Togo. I could spend long moments before a dream world. I am satisfied with what Buki globe 40 euros. a gift for all ages; ) I have a lot of games Buki, scientific, often,"&amp;" always interesting with explanatory booklets. I was never disappointed. It is accompanied by a booklet of several pages, one per continent showing some capitals with the flag and a photo. Globe diameter 21 cm mounted on metal frame (brass). Runs on AC an"&amp;"d comes with USB power adapter. illustrated instructions")</f>
        <v>serves as a pilot and also wants a working tool, but it's Chinese .... I already bought in the past, a globe a little bigger, but over time, the wars, the contours of the new countries and their names ... a globe, it evolves like anything. There, arrived in a beautiful box with a look of child who seems amazed, so I opened it to find a previously installed content with his decision and LED replacement bulb. At first I found the meeting at the equator of the two parts of the globe was rude as if both parties were wrong nested. The rest seemed a Chinese style building cheap, sold still almost 34 euros and when I turned, I found the lighting a little "weakling". Certainly we can use it as a nightlight in a child's room, but two levels of illumination, as a pilot and the other harder, to work on the globe at night, I would seem more appropriate. The small green light retrieves the switch easily. Overall, I am disappointed by this product makes "very cheap!" Overall Rating: 6.5 / 10 - in a pinch .... I love maps, globes. I had one, bigger for my children, too, now, I have given. This 21 cm is perfect and importantly, it's magic: Globe the day, which made me travel and night 88 constellations with a pretty sky blue, it serves as a night light very soft in a room, designs and names are, despite the soft light, very legible. The button has a small bright green dot, easily found in the dark. Capitals and countries are written very readable some way, very small with a long name is not written in full. I have some of my small -children who travel a lot, right now in a very small African country Togo. I could spend long moments before a dream world. I am satisfied with what Buki globe 40 euros. a gift for all ages; ) I have a lot of games Buki, scientific, often, always interesting with explanatory booklets. I was never disappointed. It is accompanied by a booklet of several pages, one per continent showing some capitals with the flag and a photo. Globe diameter 21 cm mounted on metal frame (brass). Runs on AC and comes with USB power adapter. illustrated instructions</v>
      </c>
    </row>
    <row r="3576">
      <c r="A3576" s="1">
        <v>3.0</v>
      </c>
      <c r="B3576" s="1" t="s">
        <v>3544</v>
      </c>
      <c r="C3576" t="str">
        <f>IFERROR(__xludf.DUMMYFUNCTION("GOOGLETRANSLATE(B3576, ""fr"", ""en"")"),"The correct product is correct, it's still the entrance of cheap range. However, although the arm is not too weak, joints at the micro elbow and base quickly take the game / loosening. This little lifespan is limited if you handle regularly.")</f>
        <v>The correct product is correct, it's still the entrance of cheap range. However, although the arm is not too weak, joints at the micro elbow and base quickly take the game / loosening. This little lifespan is limited if you handle regularly.</v>
      </c>
    </row>
    <row r="3577">
      <c r="A3577" s="1">
        <v>4.0</v>
      </c>
      <c r="B3577" s="1" t="s">
        <v>3545</v>
      </c>
      <c r="C3577" t="str">
        <f>IFERROR(__xludf.DUMMYFUNCTION("GOOGLETRANSLATE(B3577, ""fr"", ""en"")"),"socks is already the fourth pair that I bought and my daughter loves this tough enough and cleans very easily")</f>
        <v>socks is already the fourth pair that I bought and my daughter loves this tough enough and cleans very easily</v>
      </c>
    </row>
    <row r="3578">
      <c r="A3578" s="1">
        <v>4.0</v>
      </c>
      <c r="B3578" s="1" t="s">
        <v>3546</v>
      </c>
      <c r="C3578" t="str">
        <f>IFERROR(__xludf.DUMMYFUNCTION("GOOGLETRANSLATE(B3578, ""fr"", ""en"")"),"RTT Meets picture. The tin brown strap in contact with some quick eau.Envoi.")</f>
        <v>RTT Meets picture. The tin brown strap in contact with some quick eau.Envoi.</v>
      </c>
    </row>
    <row r="3579">
      <c r="A3579" s="1">
        <v>4.0</v>
      </c>
      <c r="B3579" s="1" t="s">
        <v>3547</v>
      </c>
      <c r="C3579" t="str">
        <f>IFERROR(__xludf.DUMMYFUNCTION("GOOGLETRANSLATE(B3579, ""fr"", ""en"")"),"great new style first pair of balance and that first impression and a great ""yes"" yellow / orange is wonderfully original. :)")</f>
        <v>great new style first pair of balance and that first impression and a great "yes" yellow / orange is wonderfully original. :)</v>
      </c>
    </row>
    <row r="3580">
      <c r="A3580" s="1">
        <v>4.0</v>
      </c>
      <c r="B3580" s="1" t="s">
        <v>3548</v>
      </c>
      <c r="C3580" t="str">
        <f>IFERROR(__xludf.DUMMYFUNCTION("GOOGLETRANSLATE(B3580, ""fr"", ""en"")"),"Perfect Perfect! Consistent with the picture. These napkin rings are practiced and inexpensive. It remains only to write the names.")</f>
        <v>Perfect Perfect! Consistent with the picture. These napkin rings are practiced and inexpensive. It remains only to write the names.</v>
      </c>
    </row>
    <row r="3581">
      <c r="A3581" s="1">
        <v>5.0</v>
      </c>
      <c r="B3581" s="1" t="s">
        <v>3549</v>
      </c>
      <c r="C3581" t="str">
        <f>IFERROR(__xludf.DUMMYFUNCTION("GOOGLETRANSLATE(B3581, ""fr"", ""en"")"),"Excellent kettle temperature control Excellent tea temperature control. Attractive and easy to use. No complaints")</f>
        <v>Excellent kettle temperature control Excellent tea temperature control. Attractive and easy to use. No complaints</v>
      </c>
    </row>
    <row r="3582">
      <c r="A3582" s="1">
        <v>5.0</v>
      </c>
      <c r="B3582" s="1" t="s">
        <v>3550</v>
      </c>
      <c r="C3582" t="str">
        <f>IFERROR(__xludf.DUMMYFUNCTION("GOOGLETRANSLATE(B3582, ""fr"", ""en"")"),"classic and modern at the same time I bought these earrings to wear them every day and they are perfect. Good length, they go with any style is both modern and classic. I have adopted! Fine while being robust, no complaints!")</f>
        <v>classic and modern at the same time I bought these earrings to wear them every day and they are perfect. Good length, they go with any style is both modern and classic. I have adopted! Fine while being robust, no complaints!</v>
      </c>
    </row>
    <row r="3583">
      <c r="A3583" s="1">
        <v>5.0</v>
      </c>
      <c r="B3583" s="1" t="s">
        <v>3551</v>
      </c>
      <c r="C3583" t="str">
        <f>IFERROR(__xludf.DUMMYFUNCTION("GOOGLETRANSLATE(B3583, ""fr"", ""en"")"),"Super necklace Very beautiful necklace chain however is a bit shaky but like any jewelry I recommend .. It is identical to the description.")</f>
        <v>Super necklace Very beautiful necklace chain however is a bit shaky but like any jewelry I recommend .. It is identical to the description.</v>
      </c>
    </row>
    <row r="3584">
      <c r="A3584" s="1">
        <v>5.0</v>
      </c>
      <c r="B3584" s="1" t="s">
        <v>3552</v>
      </c>
      <c r="C3584" t="str">
        <f>IFERROR(__xludf.DUMMYFUNCTION("GOOGLETRANSLATE(B3584, ""fr"", ""en"")"),"Solid and stylish I wanted a bag to give to my husband, not too large, stylish and practical. I found this bag with everything I was looking for. Everything is identical to the photo.")</f>
        <v>Solid and stylish I wanted a bag to give to my husband, not too large, stylish and practical. I found this bag with everything I was looking for. Everything is identical to the photo.</v>
      </c>
    </row>
    <row r="3585">
      <c r="A3585" s="1">
        <v>5.0</v>
      </c>
      <c r="B3585" s="1" t="s">
        <v>3553</v>
      </c>
      <c r="C3585" t="str">
        <f>IFERROR(__xludf.DUMMYFUNCTION("GOOGLETRANSLATE(B3585, ""fr"", ""en"")"),"RAS my husband liked")</f>
        <v>RAS my husband liked</v>
      </c>
    </row>
    <row r="3586">
      <c r="A3586" s="1">
        <v>5.0</v>
      </c>
      <c r="B3586" s="1" t="s">
        <v>3554</v>
      </c>
      <c r="C3586" t="str">
        <f>IFERROR(__xludf.DUMMYFUNCTION("GOOGLETRANSLATE(B3586, ""fr"", ""en"")"),"Good quality for the price boom is a cheap but you can not complain for the price so high can the microphone is good")</f>
        <v>Good quality for the price boom is a cheap but you can not complain for the price so high can the microphone is good</v>
      </c>
    </row>
    <row r="3587">
      <c r="A3587" s="1">
        <v>5.0</v>
      </c>
      <c r="B3587" s="1" t="s">
        <v>3555</v>
      </c>
      <c r="C3587" t="str">
        <f>IFERROR(__xludf.DUMMYFUNCTION("GOOGLETRANSLATE(B3587, ""fr"", ""en"")"),"Evao product corresponding to the description, fast delivery.")</f>
        <v>Evao product corresponding to the description, fast delivery.</v>
      </c>
    </row>
    <row r="3588">
      <c r="A3588" s="1">
        <v>5.0</v>
      </c>
      <c r="B3588" s="1" t="s">
        <v>3556</v>
      </c>
      <c r="C3588" t="str">
        <f>IFERROR(__xludf.DUMMYFUNCTION("GOOGLETRANSLATE(B3588, ""fr"", ""en"")"),"comfortable Pleasant")</f>
        <v>comfortable Pleasant</v>
      </c>
    </row>
    <row r="3589">
      <c r="A3589" s="1">
        <v>5.0</v>
      </c>
      <c r="B3589" s="1" t="s">
        <v>3557</v>
      </c>
      <c r="C3589" t="str">
        <f>IFERROR(__xludf.DUMMYFUNCTION("GOOGLETRANSLATE(B3589, ""fr"", ""en"")"),"Pair of Converse authentic Corresponds to the quality expected, the real new Converse. Product received in time. Very satisfied with my shoes. Length fits perfectly.")</f>
        <v>Pair of Converse authentic Corresponds to the quality expected, the real new Converse. Product received in time. Very satisfied with my shoes. Length fits perfectly.</v>
      </c>
    </row>
    <row r="3590">
      <c r="A3590" s="1">
        <v>5.0</v>
      </c>
      <c r="B3590" s="1" t="s">
        <v>3558</v>
      </c>
      <c r="C3590" t="str">
        <f>IFERROR(__xludf.DUMMYFUNCTION("GOOGLETRANSLATE(B3590, ""fr"", ""en"")"),"Very good very good I recommend")</f>
        <v>Very good very good I recommend</v>
      </c>
    </row>
    <row r="3591">
      <c r="A3591" s="1">
        <v>5.0</v>
      </c>
      <c r="B3591" s="1" t="s">
        <v>3559</v>
      </c>
      <c r="C3591" t="str">
        <f>IFERROR(__xludf.DUMMYFUNCTION("GOOGLETRANSLATE(B3591, ""fr"", ""en"")"),"Discover the top! An amazing product that I wanted tested and really not disappointed, certe is not an essential item but I saw a difference after using it! My scalp is cleaner, small skin and my hair relubricated a ""&amp; nbsp; little &amp; nbsp;"" little less "&amp;"quick to see the long term.")</f>
        <v>Discover the top! An amazing product that I wanted tested and really not disappointed, certe is not an essential item but I saw a difference after using it! My scalp is cleaner, small skin and my hair relubricated a "&amp; nbsp; little &amp; nbsp;" little less quick to see the long term.</v>
      </c>
    </row>
    <row r="3592">
      <c r="A3592" s="1">
        <v>5.0</v>
      </c>
      <c r="B3592" s="1" t="s">
        <v>3560</v>
      </c>
      <c r="C3592" t="str">
        <f>IFERROR(__xludf.DUMMYFUNCTION("GOOGLETRANSLATE(B3592, ""fr"", ""en"")"),"Very good buy beautiful baby bottles, the drawing is not cleared to progressively washes. Storage locker for 6 standard size bottles.")</f>
        <v>Very good buy beautiful baby bottles, the drawing is not cleared to progressively washes. Storage locker for 6 standard size bottles.</v>
      </c>
    </row>
    <row r="3593">
      <c r="A3593" s="1">
        <v>5.0</v>
      </c>
      <c r="B3593" s="1" t="s">
        <v>3561</v>
      </c>
      <c r="C3593" t="str">
        <f>IFERROR(__xludf.DUMMYFUNCTION("GOOGLETRANSLATE(B3593, ""fr"", ""en"")"),"Okay Laces")</f>
        <v>Okay Laces</v>
      </c>
    </row>
    <row r="3594">
      <c r="A3594" s="1">
        <v>5.0</v>
      </c>
      <c r="B3594" s="1" t="s">
        <v>3562</v>
      </c>
      <c r="C3594" t="str">
        <f>IFERROR(__xludf.DUMMYFUNCTION("GOOGLETRANSLATE(B3594, ""fr"", ""en"")"),"Not bad Rather nice in terms of cost, this watch is pretty well finished and done with the illusion more!")</f>
        <v>Not bad Rather nice in terms of cost, this watch is pretty well finished and done with the illusion more!</v>
      </c>
    </row>
    <row r="3595">
      <c r="A3595" s="1">
        <v>5.0</v>
      </c>
      <c r="B3595" s="1" t="s">
        <v>3563</v>
      </c>
      <c r="C3595" t="str">
        <f>IFERROR(__xludf.DUMMYFUNCTION("GOOGLETRANSLATE(B3595, ""fr"", ""en"")"),"A BASIC I love its converse, I put them very often. They go everywhere with any outfit.")</f>
        <v>A BASIC I love its converse, I put them very often. They go everywhere with any outfit.</v>
      </c>
    </row>
    <row r="3596">
      <c r="A3596" s="1">
        <v>2.0</v>
      </c>
      <c r="B3596" s="1" t="s">
        <v>3564</v>
      </c>
      <c r="C3596" t="str">
        <f>IFERROR(__xludf.DUMMYFUNCTION("GOOGLETRANSLATE(B3596, ""fr"", ""en"")"),"Avoid sav as not competent. Buy for heating the bottle. 1 was crash 1 week after. Contact sav, the girl was nice then replace me against a new device (but costs to send my expense). Then 11 months after the 2nd unit is still mtn breaking down. So I contac"&amp;"ted the sav, this time not Exchange (still under warranty). She propose another apppareil Tigex .... saying that this is already a replacement is exceptional for me ??? I accept it because I need to ""urgently"". In short, very disappointed.")</f>
        <v>Avoid sav as not competent. Buy for heating the bottle. 1 was crash 1 week after. Contact sav, the girl was nice then replace me against a new device (but costs to send my expense). Then 11 months after the 2nd unit is still mtn breaking down. So I contacted the sav, this time not Exchange (still under warranty). She propose another apppareil Tigex .... saying that this is already a replacement is exceptional for me ??? I accept it because I need to "urgently". In short, very disappointed.</v>
      </c>
    </row>
    <row r="3597">
      <c r="A3597" s="1">
        <v>1.0</v>
      </c>
      <c r="B3597" s="1" t="s">
        <v>3565</v>
      </c>
      <c r="C3597" t="str">
        <f>IFERROR(__xludf.DUMMYFUNCTION("GOOGLETRANSLATE(B3597, ""fr"", ""en"")"),"karaoke microphone used in sound sizzles these pickups are just s toys")</f>
        <v>karaoke microphone used in sound sizzles these pickups are just s toys</v>
      </c>
    </row>
    <row r="3598">
      <c r="A3598" s="1">
        <v>1.0</v>
      </c>
      <c r="B3598" s="1" t="s">
        <v>3566</v>
      </c>
      <c r="C3598" t="str">
        <f>IFERROR(__xludf.DUMMYFUNCTION("GOOGLETRANSLATE(B3598, ""fr"", ""en"")"),"Scam! I have not received the final as black ink instead of the 4 colors announced. It's very expensive for a single color !!!")</f>
        <v>Scam! I have not received the final as black ink instead of the 4 colors announced. It's very expensive for a single color !!!</v>
      </c>
    </row>
    <row r="3599">
      <c r="A3599" s="1">
        <v>3.0</v>
      </c>
      <c r="B3599" s="1" t="s">
        <v>3567</v>
      </c>
      <c r="C3599" t="str">
        <f>IFERROR(__xludf.DUMMYFUNCTION("GOOGLETRANSLATE(B3599, ""fr"", ""en"")"),"USEFUL IS THIS GOOD? Nah, some good scent that share quickly")</f>
        <v>USEFUL IS THIS GOOD? Nah, some good scent that share quickly</v>
      </c>
    </row>
    <row r="3600">
      <c r="A3600" s="1">
        <v>3.0</v>
      </c>
      <c r="B3600" s="1" t="s">
        <v>3568</v>
      </c>
      <c r="C3600" t="str">
        <f>IFERROR(__xludf.DUMMYFUNCTION("GOOGLETRANSLATE(B3600, ""fr"", ""en"")"),"Well Hello, I find too narrow tongue, not covering well after lace shoes, if not much else.")</f>
        <v>Well Hello, I find too narrow tongue, not covering well after lace shoes, if not much else.</v>
      </c>
    </row>
    <row r="3601">
      <c r="A3601" s="1">
        <v>4.0</v>
      </c>
      <c r="B3601" s="1" t="s">
        <v>3569</v>
      </c>
      <c r="C3601" t="str">
        <f>IFERROR(__xludf.DUMMYFUNCTION("GOOGLETRANSLATE(B3601, ""fr"", ""en"")"),"Good buy despite a real Bluetooth connection problem very comfortable helmet, I wore it for hours without discomfort. It is true that Bluetooth is completely crazy and that I far off from my laptop sound cut. But I had read the reviews and since 'My use i"&amp;"s sedentary, sitting in the office or on the train, it does not bother me more than that. It is beautiful, comfortable, very long battery life. For me it is worth the price amply.")</f>
        <v>Good buy despite a real Bluetooth connection problem very comfortable helmet, I wore it for hours without discomfort. It is true that Bluetooth is completely crazy and that I far off from my laptop sound cut. But I had read the reviews and since 'My use is sedentary, sitting in the office or on the train, it does not bother me more than that. It is beautiful, comfortable, very long battery life. For me it is worth the price amply.</v>
      </c>
    </row>
    <row r="3602">
      <c r="A3602" s="1">
        <v>4.0</v>
      </c>
      <c r="B3602" s="1" t="s">
        <v>3570</v>
      </c>
      <c r="C3602" t="str">
        <f>IFERROR(__xludf.DUMMYFUNCTION("GOOGLETRANSLATE(B3602, ""fr"", ""en"")"),"Micro of suitable quality for a great price. podcast voice recording")</f>
        <v>Micro of suitable quality for a great price. podcast voice recording</v>
      </c>
    </row>
    <row r="3603">
      <c r="A3603" s="1">
        <v>4.0</v>
      </c>
      <c r="B3603" s="1" t="s">
        <v>3571</v>
      </c>
      <c r="C3603" t="str">
        <f>IFERROR(__xludf.DUMMYFUNCTION("GOOGLETRANSLATE(B3603, ""fr"", ""en"")"),"The inescapable teenagers Good value")</f>
        <v>The inescapable teenagers Good value</v>
      </c>
    </row>
    <row r="3604">
      <c r="A3604" s="1">
        <v>4.0</v>
      </c>
      <c r="B3604" s="1" t="s">
        <v>3572</v>
      </c>
      <c r="C3604" t="str">
        <f>IFERROR(__xludf.DUMMYFUNCTION("GOOGLETRANSLATE(B3604, ""fr"", ""en"")"),"Great I'm a real fan of the brand. The quality of finish is always waiting for you I feel bootie all day. The lining is very effective for keeping feet warm without perspiring.")</f>
        <v>Great I'm a real fan of the brand. The quality of finish is always waiting for you I feel bootie all day. The lining is very effective for keeping feet warm without perspiring.</v>
      </c>
    </row>
    <row r="3605">
      <c r="A3605" s="1">
        <v>5.0</v>
      </c>
      <c r="B3605" s="1" t="s">
        <v>3573</v>
      </c>
      <c r="C3605" t="str">
        <f>IFERROR(__xludf.DUMMYFUNCTION("GOOGLETRANSLATE(B3605, ""fr"", ""en"")"),"for a young child it shines it's nice for a 5 year old")</f>
        <v>for a young child it shines it's nice for a 5 year old</v>
      </c>
    </row>
    <row r="3606">
      <c r="A3606" s="1">
        <v>5.0</v>
      </c>
      <c r="B3606" s="1" t="s">
        <v>3574</v>
      </c>
      <c r="C3606" t="str">
        <f>IFERROR(__xludf.DUMMYFUNCTION("GOOGLETRANSLATE(B3606, ""fr"", ""en"")"),"Bottle very good but lacks the size dummies 2 will need to buy its two months")</f>
        <v>Bottle very good but lacks the size dummies 2 will need to buy its two months</v>
      </c>
    </row>
    <row r="3607">
      <c r="A3607" s="1">
        <v>5.0</v>
      </c>
      <c r="B3607" s="1" t="s">
        <v>3575</v>
      </c>
      <c r="C3607" t="str">
        <f>IFERROR(__xludf.DUMMYFUNCTION("GOOGLETRANSLATE(B3607, ""fr"", ""en"")"),"Good! J appreciate this bag size, neither too small nor too large and large, solid side line with the vintage photo.")</f>
        <v>Good! J appreciate this bag size, neither too small nor too large and large, solid side line with the vintage photo.</v>
      </c>
    </row>
    <row r="3608">
      <c r="A3608" s="1">
        <v>5.0</v>
      </c>
      <c r="B3608" s="1" t="s">
        <v>3576</v>
      </c>
      <c r="C3608" t="str">
        <f>IFERROR(__xludf.DUMMYFUNCTION("GOOGLETRANSLATE(B3608, ""fr"", ""en"")"),"Perfect Rug very ergonomist and very nice for gaming, I recommend this article is of very good quality for low price are ... You can buy it eyes closed!")</f>
        <v>Perfect Rug very ergonomist and very nice for gaming, I recommend this article is of very good quality for low price are ... You can buy it eyes closed!</v>
      </c>
    </row>
    <row r="3609">
      <c r="A3609" s="1">
        <v>5.0</v>
      </c>
      <c r="B3609" s="1" t="s">
        <v>3577</v>
      </c>
      <c r="C3609" t="str">
        <f>IFERROR(__xludf.DUMMYFUNCTION("GOOGLETRANSLATE(B3609, ""fr"", ""en"")"),"Very nice bracelet nice bracelet and consistent with the picture, ideal as gifts or even for themselves, very nice effect, and moose")</f>
        <v>Very nice bracelet nice bracelet and consistent with the picture, ideal as gifts or even for themselves, very nice effect, and moose</v>
      </c>
    </row>
    <row r="3610">
      <c r="A3610" s="1">
        <v>5.0</v>
      </c>
      <c r="B3610" s="1" t="s">
        <v>3578</v>
      </c>
      <c r="C3610" t="str">
        <f>IFERROR(__xludf.DUMMYFUNCTION("GOOGLETRANSLATE(B3610, ""fr"", ""en"")"),"Perfect watch I love my watch Offered by my spouse, I do not get enough She arrived very quickly I could live without my premium subscription")</f>
        <v>Perfect watch I love my watch Offered by my spouse, I do not get enough She arrived very quickly I could live without my premium subscription</v>
      </c>
    </row>
    <row r="3611">
      <c r="A3611" s="1">
        <v>5.0</v>
      </c>
      <c r="B3611" s="1" t="s">
        <v>3579</v>
      </c>
      <c r="C3611" t="str">
        <f>IFERROR(__xludf.DUMMYFUNCTION("GOOGLETRANSLATE(B3611, ""fr"", ""en"")"),"Awesome ! Sneakers brand new! Works great")</f>
        <v>Awesome ! Sneakers brand new! Works great</v>
      </c>
    </row>
    <row r="3612">
      <c r="A3612" s="1">
        <v>5.0</v>
      </c>
      <c r="B3612" s="1" t="s">
        <v>3580</v>
      </c>
      <c r="C3612" t="str">
        <f>IFERROR(__xludf.DUMMYFUNCTION("GOOGLETRANSLATE(B3612, ""fr"", ""en"")"),"Very good very good despite some minor flaws here and there ..")</f>
        <v>Very good very good despite some minor flaws here and there ..</v>
      </c>
    </row>
    <row r="3613">
      <c r="A3613" s="1">
        <v>5.0</v>
      </c>
      <c r="B3613" s="1" t="s">
        <v>3581</v>
      </c>
      <c r="C3613" t="str">
        <f>IFERROR(__xludf.DUMMYFUNCTION("GOOGLETRANSLATE(B3613, ""fr"", ""en"")"),"Ensuring steady improves the taste of coffee quick reception of the product - great product - coffee is really improved - nuanced - I recommend - pity that the package arrived open! the packaging is too thin in my opinion.")</f>
        <v>Ensuring steady improves the taste of coffee quick reception of the product - great product - coffee is really improved - nuanced - I recommend - pity that the package arrived open! the packaging is too thin in my opinion.</v>
      </c>
    </row>
    <row r="3614">
      <c r="A3614" s="1">
        <v>5.0</v>
      </c>
      <c r="B3614" s="1" t="s">
        <v>3582</v>
      </c>
      <c r="C3614" t="str">
        <f>IFERROR(__xludf.DUMMYFUNCTION("GOOGLETRANSLATE(B3614, ""fr"", ""en"")"),"Pack of 2 black and color cartridges for HP J've needed new emergency cartridges for my HP printer. Grave it AMAZON and speed of delivery, J was able to reload the printer for everyday use ..a a very reasonable price!")</f>
        <v>Pack of 2 black and color cartridges for HP J've needed new emergency cartridges for my HP printer. Grave it AMAZON and speed of delivery, J was able to reload the printer for everyday use ..a a very reasonable price!</v>
      </c>
    </row>
    <row r="3615">
      <c r="A3615" s="1">
        <v>5.0</v>
      </c>
      <c r="B3615" s="1" t="s">
        <v>3583</v>
      </c>
      <c r="C3615" t="str">
        <f>IFERROR(__xludf.DUMMYFUNCTION("GOOGLETRANSLATE(B3615, ""fr"", ""en"")"),"Long sleeves, neatly trimmed, comfortable to wear. Indeed the sleeves are long but I have long arms for a time I may have wrists warm! Nice color, very comfortable, well up on the neck and goes down well on the kidneys, with a curved shape that prevents t"&amp;"o look like a bag. Not very thick but very good thickness / heat. One downside, no zip pockets.")</f>
        <v>Long sleeves, neatly trimmed, comfortable to wear. Indeed the sleeves are long but I have long arms for a time I may have wrists warm! Nice color, very comfortable, well up on the neck and goes down well on the kidneys, with a curved shape that prevents to look like a bag. Not very thick but very good thickness / heat. One downside, no zip pockets.</v>
      </c>
    </row>
    <row r="3616">
      <c r="A3616" s="1">
        <v>5.0</v>
      </c>
      <c r="B3616" s="1" t="s">
        <v>3584</v>
      </c>
      <c r="C3616" t="str">
        <f>IFERROR(__xludf.DUMMYFUNCTION("GOOGLETRANSLATE(B3616, ""fr"", ""en"")"),"perfect ! Having tired of sleep in a cold bed, I invested in this hot bed I turn 1 hour before going to sleep, at level 3, with the quilt raised to keep the heat better, and I can finally sleep in a warm bed (about 35 ° on the mattress). Therefore, I ligh"&amp;"t up even the room heater, which saves me time 1000W, with only 120W consumption for 1 hour for bed heaters")</f>
        <v>perfect ! Having tired of sleep in a cold bed, I invested in this hot bed I turn 1 hour before going to sleep, at level 3, with the quilt raised to keep the heat better, and I can finally sleep in a warm bed (about 35 ° on the mattress). Therefore, I light up even the room heater, which saves me time 1000W, with only 120W consumption for 1 hour for bed heaters</v>
      </c>
    </row>
    <row r="3617">
      <c r="A3617" s="1">
        <v>5.0</v>
      </c>
      <c r="B3617" s="1" t="s">
        <v>3585</v>
      </c>
      <c r="C3617" t="str">
        <f>IFERROR(__xludf.DUMMYFUNCTION("GOOGLETRANSLATE(B3617, ""fr"", ""en"")"),"Speaker &lt;div id = ""video-block-ROG8NH0AAYMXI"" class = ""a-section-spacing-small in-spacing-top mini video-block""&gt; &lt;/ div&gt; &lt;input type = ""hidden"" name = "" ""value ="" https://images-eu.ssl-images-amazon.com/images/I/A1FLplIF+OS.mp4 ""class ="" video-"&amp;"url ""&gt; &lt;input type ="" hidden ""name ="" ""value = ""https://images-eu.ssl-images-amazon.com/images/I/61f+b8pNe7S.png"" class = ""video-slate-img-url""&gt; &amp; nbsp; I bought this speaker for my birthday. It is powerful, that I wanted. Everyone was so please "&amp;"to the party. We do karaoke, since there are two built-in microphone. Micro light up quickly, there is a button just below the microphone and microphone are on. There are two catches included in it.")</f>
        <v>Speaker &lt;div id = "video-block-ROG8NH0AAYMXI" class = "a-section-spacing-small in-spacing-top mini video-block"&gt; &lt;/ div&gt; &lt;input type = "hidden" name = " "value =" https://images-eu.ssl-images-amazon.com/images/I/A1FLplIF+OS.mp4 "class =" video-url "&gt; &lt;input type =" hidden "name =" "value = "https://images-eu.ssl-images-amazon.com/images/I/61f+b8pNe7S.png" class = "video-slate-img-url"&gt; &amp; nbsp; I bought this speaker for my birthday. It is powerful, that I wanted. Everyone was so please to the party. We do karaoke, since there are two built-in microphone. Micro light up quickly, there is a button just below the microphone and microphone are on. There are two catches included in it.</v>
      </c>
    </row>
    <row r="3618">
      <c r="A3618" s="1">
        <v>5.0</v>
      </c>
      <c r="B3618" s="1" t="s">
        <v>3586</v>
      </c>
      <c r="C3618" t="str">
        <f>IFERROR(__xludf.DUMMYFUNCTION("GOOGLETRANSLATE(B3618, ""fr"", ""en"")"),"Extra VERY well")</f>
        <v>Extra VERY well</v>
      </c>
    </row>
    <row r="3619">
      <c r="A3619" s="1">
        <v>5.0</v>
      </c>
      <c r="B3619" s="1" t="s">
        <v>3587</v>
      </c>
      <c r="C3619" t="str">
        <f>IFERROR(__xludf.DUMMYFUNCTION("GOOGLETRANSLATE(B3619, ""fr"", ""en"")"),"Perfect Very good quality after 10 months of use. Nothing to say it. The colors are quite those shown in picture. Note that this brush and the mini does not pass sterilizer Microwave !! The stem is made of iron, but not necessarily prohibitive for this pu"&amp;"rchase. I recommand it")</f>
        <v>Perfect Very good quality after 10 months of use. Nothing to say it. The colors are quite those shown in picture. Note that this brush and the mini does not pass sterilizer Microwave !! The stem is made of iron, but not necessarily prohibitive for this purchase. I recommand it</v>
      </c>
    </row>
    <row r="3620">
      <c r="A3620" s="1">
        <v>2.0</v>
      </c>
      <c r="B3620" s="1" t="s">
        <v>3588</v>
      </c>
      <c r="C3620" t="str">
        <f>IFERROR(__xludf.DUMMYFUNCTION("GOOGLETRANSLATE(B3620, ""fr"", ""en"")"),"Its not so bad, the rest catastrophic ... For the price it's ok. The plastic is very cheap and uncomfortable but it goes for less than an hour. the sound is amazing for the price, a little soft on the average frequency but generally correct. Let's talk ab"&amp;"out what the problem - the headset does not reconnect itself to the bluetooth my mac, I have to do the manipulation manually each time, it's ok iPhone by against - every Bluetooth connection (Mac or iPhone) a voice says ""your bluetooth device bones CONNE"&amp;"CTED successfully"" funny at first, painful in the long run because you can not modulate its level sound so everyone knows you plug your headset - ditto, when the battery is low, the same way you SCREAMS in the ears that is weak and should be changed, eve"&amp;"ry 5 seconds - lifetime of the battery: 1 hour, maybe 45 minutes max - can not use this helmet for walking or running , the moving parts and produce very audible clicks at each step")</f>
        <v>Its not so bad, the rest catastrophic ... For the price it's ok. The plastic is very cheap and uncomfortable but it goes for less than an hour. the sound is amazing for the price, a little soft on the average frequency but generally correct. Let's talk about what the problem - the headset does not reconnect itself to the bluetooth my mac, I have to do the manipulation manually each time, it's ok iPhone by against - every Bluetooth connection (Mac or iPhone) a voice says "your bluetooth device bones CONNECTED successfully" funny at first, painful in the long run because you can not modulate its level sound so everyone knows you plug your headset - ditto, when the battery is low, the same way you SCREAMS in the ears that is weak and should be changed, every 5 seconds - lifetime of the battery: 1 hour, maybe 45 minutes max - can not use this helmet for walking or running , the moving parts and produce very audible clicks at each step</v>
      </c>
    </row>
    <row r="3621">
      <c r="A3621" s="1">
        <v>1.0</v>
      </c>
      <c r="B3621" s="1" t="s">
        <v>3589</v>
      </c>
      <c r="C3621" t="str">
        <f>IFERROR(__xludf.DUMMYFUNCTION("GOOGLETRANSLATE(B3621, ""fr"", ""en"")"),"poor quality, I am very disappointed disappointed pare this article, the battery yours absolutely no charge; Book without the bluetooth USB key (you must know Advent buy. I return after several attempts and really I do not advise")</f>
        <v>poor quality, I am very disappointed disappointed pare this article, the battery yours absolutely no charge; Book without the bluetooth USB key (you must know Advent buy. I return after several attempts and really I do not advise</v>
      </c>
    </row>
    <row r="3622">
      <c r="A3622" s="1">
        <v>1.0</v>
      </c>
      <c r="B3622" s="1" t="s">
        <v>3590</v>
      </c>
      <c r="C3622" t="str">
        <f>IFERROR(__xludf.DUMMYFUNCTION("GOOGLETRANSLATE(B3622, ""fr"", ""en"")"),"Stylus Not suitable platinum Philips FP320 / 00G. Disappointed with this purchase because does not meet my expectations. No complaints about product and fast delivery")</f>
        <v>Stylus Not suitable platinum Philips FP320 / 00G. Disappointed with this purchase because does not meet my expectations. No complaints about product and fast delivery</v>
      </c>
    </row>
    <row r="3623">
      <c r="A3623" s="1">
        <v>3.0</v>
      </c>
      <c r="B3623" s="1" t="s">
        <v>3591</v>
      </c>
      <c r="C3623" t="str">
        <f>IFERROR(__xludf.DUMMYFUNCTION("GOOGLETRANSLATE(B3623, ""fr"", ""en"")"),"This device extra bottle warmer is used occasionally in granny, and for this purpose it is perfectly the case. However, if its use had to be everyday, I do not recommend. On the one hand, the useful quantity of water to make the hot enough bottle, does no"&amp;"t correspond to the amount indicated on the dispenser. This is a detail, once one knows ... On the other hand, it is impossible to turn the unit off with his button during heating, simply disconnect (detail which is important when we have yet to determine"&amp;" the amount of water to be introduced to a bottle having the right temperature). In summary, the heating time is suddenly longer than expected, and God knows that minutes can be endless when baby is hungry !!!")</f>
        <v>This device extra bottle warmer is used occasionally in granny, and for this purpose it is perfectly the case. However, if its use had to be everyday, I do not recommend. On the one hand, the useful quantity of water to make the hot enough bottle, does not correspond to the amount indicated on the dispenser. This is a detail, once one knows ... On the other hand, it is impossible to turn the unit off with his button during heating, simply disconnect (detail which is important when we have yet to determine the amount of water to be introduced to a bottle having the right temperature). In summary, the heating time is suddenly longer than expected, and God knows that minutes can be endless when baby is hungry !!!</v>
      </c>
    </row>
    <row r="3624">
      <c r="A3624" s="1">
        <v>4.0</v>
      </c>
      <c r="B3624" s="1" t="s">
        <v>3592</v>
      </c>
      <c r="C3624" t="str">
        <f>IFERROR(__xludf.DUMMYFUNCTION("GOOGLETRANSLATE(B3624, ""fr"", ""en"")"),"Good headphones but ... A little disappointed with the quality / price ratio, the sound is well defined, but lacks some treble. Function effective noise. With the software you would like to have the richest helmet configuration, setting buttons, equalizer"&amp;", ability to hear outside without removing the headset. Possibility to adjust the finer noise. Big default, around the neck HP start a dish, but HP outward, open to the dust.")</f>
        <v>Good headphones but ... A little disappointed with the quality / price ratio, the sound is well defined, but lacks some treble. Function effective noise. With the software you would like to have the richest helmet configuration, setting buttons, equalizer, ability to hear outside without removing the headset. Possibility to adjust the finer noise. Big default, around the neck HP start a dish, but HP outward, open to the dust.</v>
      </c>
    </row>
    <row r="3625">
      <c r="A3625" s="1">
        <v>4.0</v>
      </c>
      <c r="B3625" s="1" t="s">
        <v>3593</v>
      </c>
      <c r="C3625" t="str">
        <f>IFERROR(__xludf.DUMMYFUNCTION("GOOGLETRANSLATE(B3625, ""fr"", ""en"")"),"Very well ! Good product quality, nice socks! Sending fast, the colors are varied very happy with my purchase! Thank you")</f>
        <v>Very well ! Good product quality, nice socks! Sending fast, the colors are varied very happy with my purchase! Thank you</v>
      </c>
    </row>
    <row r="3626">
      <c r="A3626" s="1">
        <v>4.0</v>
      </c>
      <c r="B3626" s="1" t="s">
        <v>3594</v>
      </c>
      <c r="C3626" t="str">
        <f>IFERROR(__xludf.DUMMYFUNCTION("GOOGLETRANSLATE(B3626, ""fr"", ""en"")"),"Top ! Qualitative Kettle, beautiful &amp; amp; Design with double hull which does not burn. it is also quiet and very easy to use as clean ... In stock physics it would be sold probably 20 to 25 € more expensive if I encrois my visits to major retailers, more"&amp;" after-sales service is to listening and highly responsive to best meet the expectations ...")</f>
        <v>Top ! Qualitative Kettle, beautiful &amp; amp; Design with double hull which does not burn. it is also quiet and very easy to use as clean ... In stock physics it would be sold probably 20 to 25 € more expensive if I encrois my visits to major retailers, more after-sales service is to listening and highly responsive to best meet the expectations ...</v>
      </c>
    </row>
    <row r="3627">
      <c r="A3627" s="1">
        <v>4.0</v>
      </c>
      <c r="B3627" s="1" t="s">
        <v>3595</v>
      </c>
      <c r="C3627" t="str">
        <f>IFERROR(__xludf.DUMMYFUNCTION("GOOGLETRANSLATE(B3627, ""fr"", ""en"")"),"Nickel For guitar amp")</f>
        <v>Nickel For guitar amp</v>
      </c>
    </row>
    <row r="3628">
      <c r="A3628" s="1">
        <v>5.0</v>
      </c>
      <c r="B3628" s="1" t="s">
        <v>3596</v>
      </c>
      <c r="C3628" t="str">
        <f>IFERROR(__xludf.DUMMYFUNCTION("GOOGLETRANSLATE(B3628, ""fr"", ""en"")"),"Excellent received it so fast, works perfect and i'm really happy with it! what more do you want?")</f>
        <v>Excellent received it so fast, works perfect and i'm really happy with it! what more do you want?</v>
      </c>
    </row>
    <row r="3629">
      <c r="A3629" s="1">
        <v>5.0</v>
      </c>
      <c r="B3629" s="1" t="s">
        <v>3597</v>
      </c>
      <c r="C3629" t="str">
        <f>IFERROR(__xludf.DUMMYFUNCTION("GOOGLETRANSLATE(B3629, ""fr"", ""en"")"),"Necklace Very beautiful necklace. Not at all disappointed in my purchase. Fine chain with great effect. I recommend it to all.")</f>
        <v>Necklace Very beautiful necklace. Not at all disappointed in my purchase. Fine chain with great effect. I recommend it to all.</v>
      </c>
    </row>
    <row r="3630">
      <c r="A3630" s="1">
        <v>5.0</v>
      </c>
      <c r="B3630" s="1" t="s">
        <v>3598</v>
      </c>
      <c r="C3630" t="str">
        <f>IFERROR(__xludf.DUMMYFUNCTION("GOOGLETRANSLATE(B3630, ""fr"", ""en"")"),"Really perfect This accessory is perfect to file are smartphone without cluttering the screen view. The power of the magnet is very good and the laptop stand well (I have a 155 grams phone). Only negative point but we are aware: Pack understand only one m"&amp;"agnetization receiver stuck on the phone, and the phone so if you change a full package must be redeemed.")</f>
        <v>Really perfect This accessory is perfect to file are smartphone without cluttering the screen view. The power of the magnet is very good and the laptop stand well (I have a 155 grams phone). Only negative point but we are aware: Pack understand only one magnetization receiver stuck on the phone, and the phone so if you change a full package must be redeemed.</v>
      </c>
    </row>
    <row r="3631">
      <c r="A3631" s="1">
        <v>5.0</v>
      </c>
      <c r="B3631" s="1" t="s">
        <v>3599</v>
      </c>
      <c r="C3631" t="str">
        <f>IFERROR(__xludf.DUMMYFUNCTION("GOOGLETRANSLATE(B3631, ""fr"", ""en"")"),"I ve received my package I have it for a friend")</f>
        <v>I ve received my package I have it for a friend</v>
      </c>
    </row>
    <row r="3632">
      <c r="A3632" s="1">
        <v>5.0</v>
      </c>
      <c r="B3632" s="1" t="s">
        <v>3600</v>
      </c>
      <c r="C3632" t="str">
        <f>IFERROR(__xludf.DUMMYFUNCTION("GOOGLETRANSLATE(B3632, ""fr"", ""en"")"),"Although Satisfied")</f>
        <v>Although Satisfied</v>
      </c>
    </row>
    <row r="3633">
      <c r="A3633" s="1">
        <v>5.0</v>
      </c>
      <c r="B3633" s="1" t="s">
        <v>3601</v>
      </c>
      <c r="C3633" t="str">
        <f>IFERROR(__xludf.DUMMYFUNCTION("GOOGLETRANSLATE(B3633, ""fr"", ""en"")"),"Super Great product. I am very happy.")</f>
        <v>Super Great product. I am very happy.</v>
      </c>
    </row>
    <row r="3634">
      <c r="A3634" s="1">
        <v>5.0</v>
      </c>
      <c r="B3634" s="1" t="s">
        <v>3602</v>
      </c>
      <c r="C3634" t="str">
        <f>IFERROR(__xludf.DUMMYFUNCTION("GOOGLETRANSLATE(B3634, ""fr"", ""en"")"),"Very good match my expectations Collage")</f>
        <v>Very good match my expectations Collage</v>
      </c>
    </row>
    <row r="3635">
      <c r="A3635" s="1">
        <v>5.0</v>
      </c>
      <c r="B3635" s="1" t="s">
        <v>3359</v>
      </c>
      <c r="C3635" t="str">
        <f>IFERROR(__xludf.DUMMYFUNCTION("GOOGLETRANSLATE(B3635, ""fr"", ""en"")"),"👍 👍")</f>
        <v>👍 👍</v>
      </c>
    </row>
    <row r="3636">
      <c r="A3636" s="1">
        <v>5.0</v>
      </c>
      <c r="B3636" s="1" t="s">
        <v>3603</v>
      </c>
      <c r="C3636" t="str">
        <f>IFERROR(__xludf.DUMMYFUNCTION("GOOGLETRANSLATE(B3636, ""fr"", ""en"")"),"Consistent with the description! Very fast delivery!")</f>
        <v>Consistent with the description! Very fast delivery!</v>
      </c>
    </row>
    <row r="3637">
      <c r="A3637" s="1">
        <v>5.0</v>
      </c>
      <c r="B3637" s="1" t="s">
        <v>3604</v>
      </c>
      <c r="C3637" t="str">
        <f>IFERROR(__xludf.DUMMYFUNCTION("GOOGLETRANSLATE(B3637, ""fr"", ""en"")"),"Product Innovation Practice to give its first fruit in pieces to an infant. Practical and fun.")</f>
        <v>Product Innovation Practice to give its first fruit in pieces to an infant. Practical and fun.</v>
      </c>
    </row>
    <row r="3638">
      <c r="A3638" s="1">
        <v>5.0</v>
      </c>
      <c r="B3638" s="1" t="s">
        <v>3605</v>
      </c>
      <c r="C3638" t="str">
        <f>IFERROR(__xludf.DUMMYFUNCTION("GOOGLETRANSLATE(B3638, ""fr"", ""en"")"),"good quality bag, convenient, and great style bag perfect for my computer")</f>
        <v>good quality bag, convenient, and great style bag perfect for my computer</v>
      </c>
    </row>
    <row r="3639">
      <c r="A3639" s="1">
        <v>5.0</v>
      </c>
      <c r="B3639" s="1" t="s">
        <v>3606</v>
      </c>
      <c r="C3639" t="str">
        <f>IFERROR(__xludf.DUMMYFUNCTION("GOOGLETRANSLATE(B3639, ""fr"", ""en"")"),"Perfect Very good, very nice and comfortable")</f>
        <v>Perfect Very good, very nice and comfortable</v>
      </c>
    </row>
    <row r="3640">
      <c r="A3640" s="1">
        <v>5.0</v>
      </c>
      <c r="B3640" s="1" t="s">
        <v>3607</v>
      </c>
      <c r="C3640" t="str">
        <f>IFERROR(__xludf.DUMMYFUNCTION("GOOGLETRANSLATE(B3640, ""fr"", ""en"")"),"Desk lamp ideal I love, I find the soft design, it blends into the deco, the brightness in white or yellow has several strengths, easy to fold, ideal for me that the uses for office")</f>
        <v>Desk lamp ideal I love, I find the soft design, it blends into the deco, the brightness in white or yellow has several strengths, easy to fold, ideal for me that the uses for office</v>
      </c>
    </row>
    <row r="3641">
      <c r="A3641" s="1">
        <v>5.0</v>
      </c>
      <c r="B3641" s="1" t="s">
        <v>3608</v>
      </c>
      <c r="C3641" t="str">
        <f>IFERROR(__xludf.DUMMYFUNCTION("GOOGLETRANSLATE(B3641, ""fr"", ""en"")"),"Parcel carefully packed I use mainly for calls and find them satisfactory. Good packaging, fast shipping and a nice little bag as a container. Marre Bluetooth headset that picks wrong at a certain place or discharge in the road. These headphones have a go"&amp;"od insulation system with a pouch for storing and offered good design. The noise cancellation works well, as the microphone. They do not seem tangled and resilient.")</f>
        <v>Parcel carefully packed I use mainly for calls and find them satisfactory. Good packaging, fast shipping and a nice little bag as a container. Marre Bluetooth headset that picks wrong at a certain place or discharge in the road. These headphones have a good insulation system with a pouch for storing and offered good design. The noise cancellation works well, as the microphone. They do not seem tangled and resilient.</v>
      </c>
    </row>
    <row r="3642">
      <c r="A3642" s="1">
        <v>5.0</v>
      </c>
      <c r="B3642" s="1" t="s">
        <v>3609</v>
      </c>
      <c r="C3642" t="str">
        <f>IFERROR(__xludf.DUMMYFUNCTION("GOOGLETRANSLATE(B3642, ""fr"", ""en"")"),"Very pretty cute I think they will make a summer but they are really pretty with their pearly reflection")</f>
        <v>Very pretty cute I think they will make a summer but they are really pretty with their pearly reflection</v>
      </c>
    </row>
    <row r="3643">
      <c r="A3643" s="1">
        <v>5.0</v>
      </c>
      <c r="B3643" s="1" t="s">
        <v>3610</v>
      </c>
      <c r="C3643" t="str">
        <f>IFERROR(__xludf.DUMMYFUNCTION("GOOGLETRANSLATE(B3643, ""fr"", ""en"")"),"Perfect Very good sound and very good insulation for the listener (who does not hear the outside noise) and for those around the listener (no leakage of sound from the headphones)")</f>
        <v>Perfect Very good sound and very good insulation for the listener (who does not hear the outside noise) and for those around the listener (no leakage of sound from the headphones)</v>
      </c>
    </row>
    <row r="3644">
      <c r="A3644" s="1">
        <v>2.0</v>
      </c>
      <c r="B3644" s="1" t="s">
        <v>3611</v>
      </c>
      <c r="C3644" t="str">
        <f>IFERROR(__xludf.DUMMYFUNCTION("GOOGLETRANSLATE(B3644, ""fr"", ""en"")"),"Bad average quality socks that cut way too big. I do not recommend. My son can not even put")</f>
        <v>Bad average quality socks that cut way too big. I do not recommend. My son can not even put</v>
      </c>
    </row>
    <row r="3645">
      <c r="A3645" s="1">
        <v>1.0</v>
      </c>
      <c r="B3645" s="1" t="s">
        <v>3612</v>
      </c>
      <c r="C3645" t="str">
        <f>IFERROR(__xludf.DUMMYFUNCTION("GOOGLETRANSLATE(B3645, ""fr"", ""en"")"),"Transparent Legging size too small and the lettring it off really disappointed")</f>
        <v>Transparent Legging size too small and the lettring it off really disappointed</v>
      </c>
    </row>
    <row r="3646">
      <c r="A3646" s="1">
        <v>3.0</v>
      </c>
      <c r="B3646" s="1" t="s">
        <v>3613</v>
      </c>
      <c r="C3646" t="str">
        <f>IFERROR(__xludf.DUMMYFUNCTION("GOOGLETRANSLATE(B3646, ""fr"", ""en"")"),"Problem I am a fan of mam bottles but this time there is a problem with the ring that deserves the cap there is the game and suddenly the bottle even closed is not waterproof if it is not in position standing I recovered the old rings in the trash !!! mor"&amp;"e I took three identical which all have the same problem ...")</f>
        <v>Problem I am a fan of mam bottles but this time there is a problem with the ring that deserves the cap there is the game and suddenly the bottle even closed is not waterproof if it is not in position standing I recovered the old rings in the trash !!! more I took three identical which all have the same problem ...</v>
      </c>
    </row>
    <row r="3647">
      <c r="A3647" s="1">
        <v>3.0</v>
      </c>
      <c r="B3647" s="1" t="s">
        <v>3614</v>
      </c>
      <c r="C3647" t="str">
        <f>IFERROR(__xludf.DUMMYFUNCTION("GOOGLETRANSLATE(B3647, ""fr"", ""en"")"),"Qualitative watch, but ... quality watch, I was surprised to receive it in blue instead of black. The manual in french is missing and incomplete. Too bad Lige does not correct these hazards.")</f>
        <v>Qualitative watch, but ... quality watch, I was surprised to receive it in blue instead of black. The manual in french is missing and incomplete. Too bad Lige does not correct these hazards.</v>
      </c>
    </row>
    <row r="3648">
      <c r="A3648" s="1">
        <v>4.0</v>
      </c>
      <c r="B3648" s="1" t="s">
        <v>311</v>
      </c>
      <c r="C3648" t="str">
        <f>IFERROR(__xludf.DUMMYFUNCTION("GOOGLETRANSLATE(B3648, ""fr"", ""en"")"),"Okay Perfect")</f>
        <v>Okay Perfect</v>
      </c>
    </row>
    <row r="3649">
      <c r="A3649" s="1">
        <v>4.0</v>
      </c>
      <c r="B3649" s="1" t="s">
        <v>3615</v>
      </c>
      <c r="C3649" t="str">
        <f>IFERROR(__xludf.DUMMYFUNCTION("GOOGLETRANSLATE(B3649, ""fr"", ""en"")"),"Ultra comfortable Hello, I bought this bone conduction headphones, because I was very curious to hear what it looked. I especially appreciated the ease of use, it is very light and saw that it is not the ears that does not cause any discomfort. I also lov"&amp;"ed the fact of not being cut off from the world by listening to music. The sound quality and in turn a little back. The placement of ""transducer"" and very important and completely changes the record if you do not wear the helmet properly. The ideal plac"&amp;"ement is located just in front of the tragus, as on the presentation image. Without earplugs, there is very little bass with them are present, but the sound is a bit cavernous. I'm a bit fussy with the quality of sound, but clearly the sound is not bad. F"&amp;"or me, the ideal use is for videos and or conversations, in music during sport or comfort and is not to be cut off from the world is a real plus. This comment was helpful? Let me know by clicking HELP!")</f>
        <v>Ultra comfortable Hello, I bought this bone conduction headphones, because I was very curious to hear what it looked. I especially appreciated the ease of use, it is very light and saw that it is not the ears that does not cause any discomfort. I also loved the fact of not being cut off from the world by listening to music. The sound quality and in turn a little back. The placement of "transducer" and very important and completely changes the record if you do not wear the helmet properly. The ideal placement is located just in front of the tragus, as on the presentation image. Without earplugs, there is very little bass with them are present, but the sound is a bit cavernous. I'm a bit fussy with the quality of sound, but clearly the sound is not bad. For me, the ideal use is for videos and or conversations, in music during sport or comfort and is not to be cut off from the world is a real plus. This comment was helpful? Let me know by clicking HELP!</v>
      </c>
    </row>
    <row r="3650">
      <c r="A3650" s="1">
        <v>4.0</v>
      </c>
      <c r="B3650" s="1" t="s">
        <v>3616</v>
      </c>
      <c r="C3650" t="str">
        <f>IFERROR(__xludf.DUMMYFUNCTION("GOOGLETRANSLATE(B3650, ""fr"", ""en"")"),"Very cute for couples Super beautiful I love the bracelets are a little big blow view that there is sold over with, I touch Myself I remove beads 4 or 5 I think they are my size because small handful")</f>
        <v>Very cute for couples Super beautiful I love the bracelets are a little big blow view that there is sold over with, I touch Myself I remove beads 4 or 5 I think they are my size because small handful</v>
      </c>
    </row>
    <row r="3651">
      <c r="A3651" s="1">
        <v>4.0</v>
      </c>
      <c r="B3651" s="1" t="s">
        <v>3617</v>
      </c>
      <c r="C3651" t="str">
        <f>IFERROR(__xludf.DUMMYFUNCTION("GOOGLETRANSLATE(B3651, ""fr"", ""en"")"),"Excellent product Excellent product that fully meets my expectations. Very comfortable, wearable. I have not seen for at particular defect.")</f>
        <v>Excellent product Excellent product that fully meets my expectations. Very comfortable, wearable. I have not seen for at particular defect.</v>
      </c>
    </row>
    <row r="3652">
      <c r="A3652" s="1">
        <v>4.0</v>
      </c>
      <c r="B3652" s="1" t="s">
        <v>3618</v>
      </c>
      <c r="C3652" t="str">
        <f>IFERROR(__xludf.DUMMYFUNCTION("GOOGLETRANSLATE(B3652, ""fr"", ""en"")"),"Almost Perfect! This Bluetooth headset is great and I'd recommend it highly. One small detail: to change music or another we must return to the phone which is a shame but if it is strong enough and adapts well to different head and at a range of about 80m"&amp;"!")</f>
        <v>Almost Perfect! This Bluetooth headset is great and I'd recommend it highly. One small detail: to change music or another we must return to the phone which is a shame but if it is strong enough and adapts well to different head and at a range of about 80m!</v>
      </c>
    </row>
    <row r="3653">
      <c r="A3653" s="1">
        <v>5.0</v>
      </c>
      <c r="B3653" s="1" t="s">
        <v>3619</v>
      </c>
      <c r="C3653" t="str">
        <f>IFERROR(__xludf.DUMMYFUNCTION("GOOGLETRANSLATE(B3653, ""fr"", ""en"")"),"does what it I'd bought asks the bottle Badabulle heater that has blown after a few uses J I opted for a basic model with thermostat Allows me to breastfeed and to heat the complement meanwhile Guard usable temperature in car if it has the necessary equip"&amp;"ment to put on cigarette lighter socket as only 80w Warning sold without cord cigarette lighter power outlet by releasing itself off button")</f>
        <v>does what it I'd bought asks the bottle Badabulle heater that has blown after a few uses J I opted for a basic model with thermostat Allows me to breastfeed and to heat the complement meanwhile Guard usable temperature in car if it has the necessary equipment to put on cigarette lighter socket as only 80w Warning sold without cord cigarette lighter power outlet by releasing itself off button</v>
      </c>
    </row>
    <row r="3654">
      <c r="A3654" s="1">
        <v>5.0</v>
      </c>
      <c r="B3654" s="1" t="s">
        <v>3620</v>
      </c>
      <c r="C3654" t="str">
        <f>IFERROR(__xludf.DUMMYFUNCTION("GOOGLETRANSLATE(B3654, ""fr"", ""en"")"),"String Finally cotton oufff")</f>
        <v>String Finally cotton oufff</v>
      </c>
    </row>
    <row r="3655">
      <c r="A3655" s="1">
        <v>5.0</v>
      </c>
      <c r="B3655" s="1" t="s">
        <v>3621</v>
      </c>
      <c r="C3655" t="str">
        <f>IFERROR(__xludf.DUMMYFUNCTION("GOOGLETRANSLATE(B3655, ""fr"", ""en"")"),"Very nice shoe safety shoes for work! This is my second pair I'm very happy!")</f>
        <v>Very nice shoe safety shoes for work! This is my second pair I'm very happy!</v>
      </c>
    </row>
    <row r="3656">
      <c r="A3656" s="1">
        <v>5.0</v>
      </c>
      <c r="B3656" s="1" t="s">
        <v>3622</v>
      </c>
      <c r="C3656" t="str">
        <f>IFERROR(__xludf.DUMMYFUNCTION("GOOGLETRANSLATE(B3656, ""fr"", ""en"")"),"Casio Shock Really disappointed, consistent with the description. I need a second to show the barracks (another G SHOCK) and picked in repackaged without original packaging Excluding what a pleasant surprise, a completely new model in original packaging S"&amp;"till not disappointed my choice reconditioned, can be trusted to AMAZON The product is perfect when with him, I was going to see on yOU TUBE to complete his description, although a few settings are not intuitive but hey, G SHOCK within 50 € when this mode"&amp;"l is up to 130 in trade, it would be really difficult. I recommend without restriction.")</f>
        <v>Casio Shock Really disappointed, consistent with the description. I need a second to show the barracks (another G SHOCK) and picked in repackaged without original packaging Excluding what a pleasant surprise, a completely new model in original packaging Still not disappointed my choice reconditioned, can be trusted to AMAZON The product is perfect when with him, I was going to see on yOU TUBE to complete his description, although a few settings are not intuitive but hey, G SHOCK within 50 € when this model is up to 130 in trade, it would be really difficult. I recommend without restriction.</v>
      </c>
    </row>
    <row r="3657">
      <c r="A3657" s="1">
        <v>5.0</v>
      </c>
      <c r="B3657" s="1" t="s">
        <v>3623</v>
      </c>
      <c r="C3657" t="str">
        <f>IFERROR(__xludf.DUMMYFUNCTION("GOOGLETRANSLATE(B3657, ""fr"", ""en"")"),"Good qualities I used to paint flowers yet. They have good accuracy that the pans will not separate it. The shape of the handle is convenient for a good grip. For the moment I can not be found fault. I'm happy with my purchase")</f>
        <v>Good qualities I used to paint flowers yet. They have good accuracy that the pans will not separate it. The shape of the handle is convenient for a good grip. For the moment I can not be found fault. I'm happy with my purchase</v>
      </c>
    </row>
    <row r="3658">
      <c r="A3658" s="1">
        <v>5.0</v>
      </c>
      <c r="B3658" s="1" t="s">
        <v>3624</v>
      </c>
      <c r="C3658" t="str">
        <f>IFERROR(__xludf.DUMMYFUNCTION("GOOGLETRANSLATE(B3658, ""fr"", ""en"")"),"Perfect product complies with the description, received 1 day before the estimated date at the top!")</f>
        <v>Perfect product complies with the description, received 1 day before the estimated date at the top!</v>
      </c>
    </row>
    <row r="3659">
      <c r="A3659" s="1">
        <v>5.0</v>
      </c>
      <c r="B3659" s="1" t="s">
        <v>3625</v>
      </c>
      <c r="C3659" t="str">
        <f>IFERROR(__xludf.DUMMYFUNCTION("GOOGLETRANSLATE(B3659, ""fr"", ""en"")"),"Well I bought it for my personal use. The waiting period for the express delivery is not long. The product is well packaged and new. To have it is no quality problems after the test. If a friend asks me, I would recommend him to buy it. In short, I praise"&amp;".")</f>
        <v>Well I bought it for my personal use. The waiting period for the express delivery is not long. The product is well packaged and new. To have it is no quality problems after the test. If a friend asks me, I would recommend him to buy it. In short, I praise.</v>
      </c>
    </row>
    <row r="3660">
      <c r="A3660" s="1">
        <v>5.0</v>
      </c>
      <c r="B3660" s="1" t="s">
        <v>3626</v>
      </c>
      <c r="C3660" t="str">
        <f>IFERROR(__xludf.DUMMYFUNCTION("GOOGLETRANSLATE(B3660, ""fr"", ""en"")"),"well finished product and value for money interesting down survetemt and shorts for sports")</f>
        <v>well finished product and value for money interesting down survetemt and shorts for sports</v>
      </c>
    </row>
    <row r="3661">
      <c r="A3661" s="1">
        <v>5.0</v>
      </c>
      <c r="B3661" s="1" t="s">
        <v>3627</v>
      </c>
      <c r="C3661" t="str">
        <f>IFERROR(__xludf.DUMMYFUNCTION("GOOGLETRANSLATE(B3661, ""fr"", ""en"")"),"Good value Very compliant products. The value for money for original cartridges is excellent.")</f>
        <v>Good value Very compliant products. The value for money for original cartridges is excellent.</v>
      </c>
    </row>
    <row r="3662">
      <c r="A3662" s="1">
        <v>5.0</v>
      </c>
      <c r="B3662" s="1" t="s">
        <v>3628</v>
      </c>
      <c r="C3662" t="str">
        <f>IFERROR(__xludf.DUMMYFUNCTION("GOOGLETRANSLATE(B3662, ""fr"", ""en"")"),"great product Happy with my purchase, I'm not too used it but the little I've used, I am satisfied .Super to take a trip.")</f>
        <v>great product Happy with my purchase, I'm not too used it but the little I've used, I am satisfied .Super to take a trip.</v>
      </c>
    </row>
    <row r="3663">
      <c r="A3663" s="1">
        <v>5.0</v>
      </c>
      <c r="B3663" s="1" t="s">
        <v>3629</v>
      </c>
      <c r="C3663" t="str">
        <f>IFERROR(__xludf.DUMMYFUNCTION("GOOGLETRANSLATE(B3663, ""fr"", ""en"")"),"Useful. Useful for smartphone.")</f>
        <v>Useful. Useful for smartphone.</v>
      </c>
    </row>
    <row r="3664">
      <c r="A3664" s="1">
        <v>5.0</v>
      </c>
      <c r="B3664" s="1" t="s">
        <v>3630</v>
      </c>
      <c r="C3664" t="str">
        <f>IFERROR(__xludf.DUMMYFUNCTION("GOOGLETRANSLATE(B3664, ""fr"", ""en"")"),"That shoes I ordered a long time now it's stunning shoes are super cute and it's cheap what more? Buy.")</f>
        <v>That shoes I ordered a long time now it's stunning shoes are super cute and it's cheap what more? Buy.</v>
      </c>
    </row>
    <row r="3665">
      <c r="A3665" s="1">
        <v>5.0</v>
      </c>
      <c r="B3665" s="1" t="s">
        <v>3631</v>
      </c>
      <c r="C3665" t="str">
        <f>IFERROR(__xludf.DUMMYFUNCTION("GOOGLETRANSLATE(B3665, ""fr"", ""en"")"),"Very beautiful bracelet beautiful bracelet. Beautiful stones. Conforms to the photo. Received very quickly 👍")</f>
        <v>Very beautiful bracelet beautiful bracelet. Beautiful stones. Conforms to the photo. Received very quickly 👍</v>
      </c>
    </row>
    <row r="3666">
      <c r="A3666" s="1">
        <v>5.0</v>
      </c>
      <c r="B3666" s="1" t="s">
        <v>3632</v>
      </c>
      <c r="C3666" t="str">
        <f>IFERROR(__xludf.DUMMYFUNCTION("GOOGLETRANSLATE(B3666, ""fr"", ""en"")"),"highly responsive customer service! EDIT 2: Second product received very quickly, service very efficient and arrange. No problem on the second product. I gives 5 stars! I bought this desk lamp following recommendation of numerous on the internet and the g"&amp;"ood reviews it has received. Despite the relevance of the product and its proper use (nice touch, color management much thought, etc.) I am extremely disappointed with the finish ... Indeed, I've realized from the first use there was a big shift once the "&amp;"folded lamp itself, so much so that it is not right at all! I took pictures to make it more meaningful ... Maybe it's just the default of a series and I've had no luck ... EDIT 1: SAV brand m ' offered to send me a product for free, which I accepted. Serv"&amp;"ice very responsive, I will modify my log when I have received.")</f>
        <v>highly responsive customer service! EDIT 2: Second product received very quickly, service very efficient and arrange. No problem on the second product. I gives 5 stars! I bought this desk lamp following recommendation of numerous on the internet and the good reviews it has received. Despite the relevance of the product and its proper use (nice touch, color management much thought, etc.) I am extremely disappointed with the finish ... Indeed, I've realized from the first use there was a big shift once the folded lamp itself, so much so that it is not right at all! I took pictures to make it more meaningful ... Maybe it's just the default of a series and I've had no luck ... EDIT 1: SAV brand m ' offered to send me a product for free, which I accepted. Service very responsive, I will modify my log when I have received.</v>
      </c>
    </row>
    <row r="3667">
      <c r="A3667" s="1">
        <v>5.0</v>
      </c>
      <c r="B3667" s="1" t="s">
        <v>3633</v>
      </c>
      <c r="C3667" t="str">
        <f>IFERROR(__xludf.DUMMYFUNCTION("GOOGLETRANSLATE(B3667, ""fr"", ""en"")"),"Super nice quality and well finished")</f>
        <v>Super nice quality and well finished</v>
      </c>
    </row>
    <row r="3668">
      <c r="A3668" s="1">
        <v>2.0</v>
      </c>
      <c r="B3668" s="1" t="s">
        <v>3634</v>
      </c>
      <c r="C3668" t="str">
        <f>IFERROR(__xludf.DUMMYFUNCTION("GOOGLETRANSLATE(B3668, ""fr"", ""en"")"),"Not so pretty, practical with its numerous pockets, and it seems rather solid. ... except the closure. That of the 3 main pockets passed away after a month and I suspect others do not last long ...")</f>
        <v>Not so pretty, practical with its numerous pockets, and it seems rather solid. ... except the closure. That of the 3 main pockets passed away after a month and I suspect others do not last long ...</v>
      </c>
    </row>
    <row r="3669">
      <c r="A3669" s="1">
        <v>1.0</v>
      </c>
      <c r="B3669" s="1" t="s">
        <v>3635</v>
      </c>
      <c r="C3669" t="str">
        <f>IFERROR(__xludf.DUMMYFUNCTION("GOOGLETRANSLATE(B3669, ""fr"", ""en"")"),"Vulgar vulgar counterfeit infringement. No infrared, missing a head. ineffective massage just vibrations. I ask for a refund as soon as possible!")</f>
        <v>Vulgar vulgar counterfeit infringement. No infrared, missing a head. ineffective massage just vibrations. I ask for a refund as soon as possible!</v>
      </c>
    </row>
    <row r="3670">
      <c r="A3670" s="1">
        <v>1.0</v>
      </c>
      <c r="B3670" s="1" t="s">
        <v>3636</v>
      </c>
      <c r="C3670" t="str">
        <f>IFERROR(__xludf.DUMMYFUNCTION("GOOGLETRANSLATE(B3670, ""fr"", ""en"")"),"Do not choose this model The temperature controller began to go haywire in the first days of use. I do not recommend this product which is not good.")</f>
        <v>Do not choose this model The temperature controller began to go haywire in the first days of use. I do not recommend this product which is not good.</v>
      </c>
    </row>
    <row r="3671">
      <c r="A3671" s="1">
        <v>3.0</v>
      </c>
      <c r="B3671" s="1" t="s">
        <v>3637</v>
      </c>
      <c r="C3671" t="str">
        <f>IFERROR(__xludf.DUMMYFUNCTION("GOOGLETRANSLATE(B3671, ""fr"", ""en"")"),"The material is not pleasant to wear especially for sport (itch) Sports")</f>
        <v>The material is not pleasant to wear especially for sport (itch) Sports</v>
      </c>
    </row>
    <row r="3672">
      <c r="A3672" s="1">
        <v>3.0</v>
      </c>
      <c r="B3672" s="1" t="s">
        <v>3638</v>
      </c>
      <c r="C3672" t="str">
        <f>IFERROR(__xludf.DUMMYFUNCTION("GOOGLETRANSLATE(B3672, ""fr"", ""en"")"),"Pretty but it is true, it is very beautiful markers, beautiful colors and they work very well, only I painted a picture with a slate and magnetic paint and markers do not fade at all on it, even with water. I had to iron a coat of paint.")</f>
        <v>Pretty but it is true, it is very beautiful markers, beautiful colors and they work very well, only I painted a picture with a slate and magnetic paint and markers do not fade at all on it, even with water. I had to iron a coat of paint.</v>
      </c>
    </row>
    <row r="3673">
      <c r="A3673" s="1">
        <v>4.0</v>
      </c>
      <c r="B3673" s="1" t="s">
        <v>3639</v>
      </c>
      <c r="C3673" t="str">
        <f>IFERROR(__xludf.DUMMYFUNCTION("GOOGLETRANSLATE(B3673, ""fr"", ""en"")"),"Game play pen chrono very nice! Good times with family. fun game for children and some crazy laughter guaranteed!")</f>
        <v>Game play pen chrono very nice! Good times with family. fun game for children and some crazy laughter guaranteed!</v>
      </c>
    </row>
    <row r="3674">
      <c r="A3674" s="1">
        <v>4.0</v>
      </c>
      <c r="B3674" s="1" t="s">
        <v>3640</v>
      </c>
      <c r="C3674" t="str">
        <f>IFERROR(__xludf.DUMMYFUNCTION("GOOGLETRANSLATE(B3674, ""fr"", ""en"")"),"VERY SATISFIED No problem for the product that I know. As against the surprise was that I received three bottles for the price of 2 because I received an offer. Quick delivery. No complaints")</f>
        <v>VERY SATISFIED No problem for the product that I know. As against the surprise was that I received three bottles for the price of 2 because I received an offer. Quick delivery. No complaints</v>
      </c>
    </row>
    <row r="3675">
      <c r="A3675" s="1">
        <v>4.0</v>
      </c>
      <c r="B3675" s="1" t="s">
        <v>3641</v>
      </c>
      <c r="C3675" t="str">
        <f>IFERROR(__xludf.DUMMYFUNCTION("GOOGLETRANSLATE(B3675, ""fr"", ""en"")"),"Beautiful watch Very nice watch, the case is worthy of a great brand by against the band is really low end. A bar spring bracelet has released the day after the purchase.")</f>
        <v>Beautiful watch Very nice watch, the case is worthy of a great brand by against the band is really low end. A bar spring bracelet has released the day after the purchase.</v>
      </c>
    </row>
    <row r="3676">
      <c r="A3676" s="1">
        <v>4.0</v>
      </c>
      <c r="B3676" s="1" t="s">
        <v>3642</v>
      </c>
      <c r="C3676" t="str">
        <f>IFERROR(__xludf.DUMMYFUNCTION("GOOGLETRANSLATE(B3676, ""fr"", ""en"")"),"I recommend Article seen on testzon.com. Fast delivery and consistent with the description, resistant packaging. The pods come in a plastic box that seems solid. There are several sizes which allow many possibilities. After use they prove to be of good qu"&amp;"ality, I recommend.")</f>
        <v>I recommend Article seen on testzon.com. Fast delivery and consistent with the description, resistant packaging. The pods come in a plastic box that seems solid. There are several sizes which allow many possibilities. After use they prove to be of good quality, I recommend.</v>
      </c>
    </row>
    <row r="3677">
      <c r="A3677" s="1">
        <v>5.0</v>
      </c>
      <c r="B3677" s="1" t="s">
        <v>3643</v>
      </c>
      <c r="C3677" t="str">
        <f>IFERROR(__xludf.DUMMYFUNCTION("GOOGLETRANSLATE(B3677, ""fr"", ""en"")"),"Casio as usual I had already had two Casio watches in the past and I had Was found very reliable and robust. My new show is still excellent, easy to use and reliable. Happiness !")</f>
        <v>Casio as usual I had already had two Casio watches in the past and I had Was found very reliable and robust. My new show is still excellent, easy to use and reliable. Happiness !</v>
      </c>
    </row>
    <row r="3678">
      <c r="A3678" s="1">
        <v>5.0</v>
      </c>
      <c r="B3678" s="1" t="s">
        <v>3644</v>
      </c>
      <c r="C3678" t="str">
        <f>IFERROR(__xludf.DUMMYFUNCTION("GOOGLETRANSLATE(B3678, ""fr"", ""en"")"),"Satisfied Inbox yesterday used today, I am greatly satisfied. The sound is perfect and it allows me to immerse myself in the atmosphere to write in peace. No complaints.")</f>
        <v>Satisfied Inbox yesterday used today, I am greatly satisfied. The sound is perfect and it allows me to immerse myself in the atmosphere to write in peace. No complaints.</v>
      </c>
    </row>
    <row r="3679">
      <c r="A3679" s="1">
        <v>5.0</v>
      </c>
      <c r="B3679" s="1" t="s">
        <v>3645</v>
      </c>
      <c r="C3679" t="str">
        <f>IFERROR(__xludf.DUMMYFUNCTION("GOOGLETRANSLATE(B3679, ""fr"", ""en"")"),"Although this advent calendar with great success for a little girl riding passionate. Every day is appreciated for its new surprise.")</f>
        <v>Although this advent calendar with great success for a little girl riding passionate. Every day is appreciated for its new surprise.</v>
      </c>
    </row>
    <row r="3680">
      <c r="A3680" s="1">
        <v>5.0</v>
      </c>
      <c r="B3680" s="1" t="s">
        <v>3646</v>
      </c>
      <c r="C3680" t="str">
        <f>IFERROR(__xludf.DUMMYFUNCTION("GOOGLETRANSLATE(B3680, ""fr"", ""en"")"),"We love We love the easy to clean baby bottles")</f>
        <v>We love We love the easy to clean baby bottles</v>
      </c>
    </row>
    <row r="3681">
      <c r="A3681" s="1">
        <v>5.0</v>
      </c>
      <c r="B3681" s="1" t="s">
        <v>3647</v>
      </c>
      <c r="C3681" t="str">
        <f>IFERROR(__xludf.DUMMYFUNCTION("GOOGLETRANSLATE(B3681, ""fr"", ""en"")"),"Awesome Really great for my daughter draws more about the dolls. Felt walking beautiful color of course clears well under water my daughter loves.")</f>
        <v>Awesome Really great for my daughter draws more about the dolls. Felt walking beautiful color of course clears well under water my daughter loves.</v>
      </c>
    </row>
    <row r="3682">
      <c r="A3682" s="1">
        <v>5.0</v>
      </c>
      <c r="B3682" s="1" t="s">
        <v>3648</v>
      </c>
      <c r="C3682" t="str">
        <f>IFERROR(__xludf.DUMMYFUNCTION("GOOGLETRANSLATE(B3682, ""fr"", ""en"")"),"ready printer exellent price: lowest on the market")</f>
        <v>ready printer exellent price: lowest on the market</v>
      </c>
    </row>
    <row r="3683">
      <c r="A3683" s="1">
        <v>5.0</v>
      </c>
      <c r="B3683" s="1" t="s">
        <v>3649</v>
      </c>
      <c r="C3683" t="str">
        <f>IFERROR(__xludf.DUMMYFUNCTION("GOOGLETRANSLATE(B3683, ""fr"", ""en"")"),"A bag quality leather perfect bag is a REAL top quality product I am delighted with my purchase C is quite what I was looking with Multiple pockets c's all I wanted. He arrived in excellent condition a packaged product to protect it in a white cloth bag! "&amp;"very fast and perfect delivery! It is colored dark brown I quite like the color! I'm going to carry it to work to put my pc and all my stuff! I could have better! You can either keep the hand is A l c is perfect shoulder! I the door manually a real bag! S"&amp;" open closures perfectly without any discomfort! It's great I admit that C is very good because it always takes too!")</f>
        <v>A bag quality leather perfect bag is a REAL top quality product I am delighted with my purchase C is quite what I was looking with Multiple pockets c's all I wanted. He arrived in excellent condition a packaged product to protect it in a white cloth bag! very fast and perfect delivery! It is colored dark brown I quite like the color! I'm going to carry it to work to put my pc and all my stuff! I could have better! You can either keep the hand is A l c is perfect shoulder! I the door manually a real bag! S open closures perfectly without any discomfort! It's great I admit that C is very good because it always takes too!</v>
      </c>
    </row>
    <row r="3684">
      <c r="A3684" s="1">
        <v>5.0</v>
      </c>
      <c r="B3684" s="1" t="s">
        <v>3650</v>
      </c>
      <c r="C3684" t="str">
        <f>IFERROR(__xludf.DUMMYFUNCTION("GOOGLETRANSLATE(B3684, ""fr"", ""en"")"),"WAOUHHHH what about this tree of life apart Waouhhhhh !!! it matches the description. worn, it is delightful !!!")</f>
        <v>WAOUHHHH what about this tree of life apart Waouhhhhh !!! it matches the description. worn, it is delightful !!!</v>
      </c>
    </row>
    <row r="3685">
      <c r="A3685" s="1">
        <v>5.0</v>
      </c>
      <c r="B3685" s="1" t="s">
        <v>3651</v>
      </c>
      <c r="C3685" t="str">
        <f>IFERROR(__xludf.DUMMYFUNCTION("GOOGLETRANSLATE(B3685, ""fr"", ""en"")"),"SUPER BABY BOTTLES TRIANGULAR DODIE This batch of bottles is really good and complete. It contains 3 different sizes, PINK. Baby managed to hold on thanks to its triangular shape. I recommend: my children have always preferred their bottle dodie simple to"&amp;" other brands (too big, too heavy and too round) (and I've tried a lot) baby .. We can never prevent swallowing a few air sucking his bibi, but he swallows least with this one.")</f>
        <v>SUPER BABY BOTTLES TRIANGULAR DODIE This batch of bottles is really good and complete. It contains 3 different sizes, PINK. Baby managed to hold on thanks to its triangular shape. I recommend: my children have always preferred their bottle dodie simple to other brands (too big, too heavy and too round) (and I've tried a lot) baby .. We can never prevent swallowing a few air sucking his bibi, but he swallows least with this one.</v>
      </c>
    </row>
    <row r="3686">
      <c r="A3686" s="1">
        <v>5.0</v>
      </c>
      <c r="B3686" s="1" t="s">
        <v>2612</v>
      </c>
      <c r="C3686" t="str">
        <f>IFERROR(__xludf.DUMMYFUNCTION("GOOGLETRANSLATE(B3686, ""fr"", ""en"")"),"Although Ras")</f>
        <v>Although Ras</v>
      </c>
    </row>
    <row r="3687">
      <c r="A3687" s="1">
        <v>5.0</v>
      </c>
      <c r="B3687" s="1" t="s">
        <v>3652</v>
      </c>
      <c r="C3687" t="str">
        <f>IFERROR(__xludf.DUMMYFUNCTION("GOOGLETRANSLATE(B3687, ""fr"", ""en"")"),"Well I received a rose! Pity! However the brush is perfect for cleaning baby bottles and small swab handle is hidden in the ideal length to clean the teats of tips and small valves bottles Munchkin Latch. Works much better than my previous brand but same "&amp;"brush with plastic bristles that broke very quickly")</f>
        <v>Well I received a rose! Pity! However the brush is perfect for cleaning baby bottles and small swab handle is hidden in the ideal length to clean the teats of tips and small valves bottles Munchkin Latch. Works much better than my previous brand but same brush with plastic bristles that broke very quickly</v>
      </c>
    </row>
    <row r="3688">
      <c r="A3688" s="1">
        <v>5.0</v>
      </c>
      <c r="B3688" s="1" t="s">
        <v>3653</v>
      </c>
      <c r="C3688" t="str">
        <f>IFERROR(__xludf.DUMMYFUNCTION("GOOGLETRANSLATE(B3688, ""fr"", ""en"")"),"I recommend I recommend Super informative. My nephew loved this book")</f>
        <v>I recommend I recommend Super informative. My nephew loved this book</v>
      </c>
    </row>
    <row r="3689">
      <c r="A3689" s="1">
        <v>5.0</v>
      </c>
      <c r="B3689" s="1" t="s">
        <v>3654</v>
      </c>
      <c r="C3689" t="str">
        <f>IFERROR(__xludf.DUMMYFUNCTION("GOOGLETRANSLATE(B3689, ""fr"", ""en"")"),"Perfect I use when hiking and road trip by motorcycle. I personally removed the foam caps by preference and stayed very comfortable and perfectly maintained my chest (95B). I gave my daughter and my mother are very satisfied too, even may be more because "&amp;"they use it every day and can now select a lot more often inadequate blouses to their breasts (95D and 95E).")</f>
        <v>Perfect I use when hiking and road trip by motorcycle. I personally removed the foam caps by preference and stayed very comfortable and perfectly maintained my chest (95B). I gave my daughter and my mother are very satisfied too, even may be more because they use it every day and can now select a lot more often inadequate blouses to their breasts (95D and 95E).</v>
      </c>
    </row>
    <row r="3690">
      <c r="A3690" s="1">
        <v>5.0</v>
      </c>
      <c r="B3690" s="1" t="s">
        <v>3655</v>
      </c>
      <c r="C3690" t="str">
        <f>IFERROR(__xludf.DUMMYFUNCTION("GOOGLETRANSLATE(B3690, ""fr"", ""en"")"),"No low price for the quality I liked it very soft and comfortable product")</f>
        <v>No low price for the quality I liked it very soft and comfortable product</v>
      </c>
    </row>
    <row r="3691">
      <c r="A3691" s="1">
        <v>5.0</v>
      </c>
      <c r="B3691" s="1" t="s">
        <v>3656</v>
      </c>
      <c r="C3691" t="str">
        <f>IFERROR(__xludf.DUMMYFUNCTION("GOOGLETRANSLATE(B3691, ""fr"", ""en"")"),"Lightweight and good quality sound First, turn headphones into a beautiful box for protection. The manual is available in French and ensure that you have doubts about its use, but in reality it is very easy to use. Aesthetically elegant and unobtrusive, e"&amp;"rgonomic, well preserved. The headphones have a good self-control by buttons on the headphones is effective, and I also tested the phone conversations without problem. Full support is fast and the battery life of up to several hours. Several spare parts f"&amp;"or the ear in the box can provide optimum comfort to many people. They are light. Maintenance is perfect")</f>
        <v>Lightweight and good quality sound First, turn headphones into a beautiful box for protection. The manual is available in French and ensure that you have doubts about its use, but in reality it is very easy to use. Aesthetically elegant and unobtrusive, ergonomic, well preserved. The headphones have a good self-control by buttons on the headphones is effective, and I also tested the phone conversations without problem. Full support is fast and the battery life of up to several hours. Several spare parts for the ear in the box can provide optimum comfort to many people. They are light. Maintenance is perfect</v>
      </c>
    </row>
    <row r="3692">
      <c r="A3692" s="1">
        <v>2.0</v>
      </c>
      <c r="B3692" s="1" t="s">
        <v>3657</v>
      </c>
      <c r="C3692" t="str">
        <f>IFERROR(__xludf.DUMMYFUNCTION("GOOGLETRANSLATE(B3692, ""fr"", ""en"")"),"Hot but painful ... They seem well with warm removable liner wool. For cons, the heel is not maintained (though I tried two different sizes) and it rubs at the junction of plastic and textile parts. This part is really grossly over: it might be necessary "&amp;"to stick a band over ... I have not had the opportunity to test in real conditions, I had too much fear of pain while walking, I so've returned.")</f>
        <v>Hot but painful ... They seem well with warm removable liner wool. For cons, the heel is not maintained (though I tried two different sizes) and it rubs at the junction of plastic and textile parts. This part is really grossly over: it might be necessary to stick a band over ... I have not had the opportunity to test in real conditions, I had too much fear of pain while walking, I so've returned.</v>
      </c>
    </row>
    <row r="3693">
      <c r="A3693" s="1">
        <v>1.0</v>
      </c>
      <c r="B3693" s="1" t="s">
        <v>3658</v>
      </c>
      <c r="C3693" t="str">
        <f>IFERROR(__xludf.DUMMYFUNCTION("GOOGLETRANSLATE(B3693, ""fr"", ""en"")"),"Do not glue Incomprehensible, I put more than 40 cm of the product to keep an LED light (less than 800g) - Material: Plastic - tiles. it held no more than 10 minutes .... I am very disappointed! false PUB")</f>
        <v>Do not glue Incomprehensible, I put more than 40 cm of the product to keep an LED light (less than 800g) - Material: Plastic - tiles. it held no more than 10 minutes .... I am very disappointed! false PUB</v>
      </c>
    </row>
    <row r="3694">
      <c r="A3694" s="1">
        <v>1.0</v>
      </c>
      <c r="B3694" s="1" t="s">
        <v>3659</v>
      </c>
      <c r="C3694" t="str">
        <f>IFERROR(__xludf.DUMMYFUNCTION("GOOGLETRANSLATE(B3694, ""fr"", ""en"")"),"image that does not match the product is expected to 4 pairs of socks. Or there 'has that a. What a desappointment !")</f>
        <v>image that does not match the product is expected to 4 pairs of socks. Or there 'has that a. What a desappointment !</v>
      </c>
    </row>
    <row r="3695">
      <c r="A3695" s="1">
        <v>3.0</v>
      </c>
      <c r="B3695" s="1" t="s">
        <v>3660</v>
      </c>
      <c r="C3695" t="str">
        <f>IFERROR(__xludf.DUMMYFUNCTION("GOOGLETRANSLATE(B3695, ""fr"", ""en"")"),"comfortable slippery sole")</f>
        <v>comfortable slippery sole</v>
      </c>
    </row>
    <row r="3696">
      <c r="A3696" s="1">
        <v>3.0</v>
      </c>
      <c r="B3696" s="1" t="s">
        <v>3661</v>
      </c>
      <c r="C3696" t="str">
        <f>IFERROR(__xludf.DUMMYFUNCTION("GOOGLETRANSLATE(B3696, ""fr"", ""en"")"),"Painting Hello I find it too expensive for what it is. Too small for my taste.")</f>
        <v>Painting Hello I find it too expensive for what it is. Too small for my taste.</v>
      </c>
    </row>
    <row r="3697">
      <c r="A3697" s="1">
        <v>4.0</v>
      </c>
      <c r="B3697" s="1" t="s">
        <v>3662</v>
      </c>
      <c r="C3697" t="str">
        <f>IFERROR(__xludf.DUMMYFUNCTION("GOOGLETRANSLATE(B3697, ""fr"", ""en"")"),"Convenient ! Article corresponds to the description and photo. Palladium classic model I have not been disappointed. Delivery time.")</f>
        <v>Convenient ! Article corresponds to the description and photo. Palladium classic model I have not been disappointed. Delivery time.</v>
      </c>
    </row>
    <row r="3698">
      <c r="A3698" s="1">
        <v>4.0</v>
      </c>
      <c r="B3698" s="1" t="s">
        <v>3663</v>
      </c>
      <c r="C3698" t="str">
        <f>IFERROR(__xludf.DUMMYFUNCTION("GOOGLETRANSLATE(B3698, ""fr"", ""en"")"),"Pretty curls, laptops everywhere. classic style.")</f>
        <v>Pretty curls, laptops everywhere. classic style.</v>
      </c>
    </row>
    <row r="3699">
      <c r="A3699" s="1">
        <v>4.0</v>
      </c>
      <c r="B3699" s="1" t="s">
        <v>3664</v>
      </c>
      <c r="C3699" t="str">
        <f>IFERROR(__xludf.DUMMYFUNCTION("GOOGLETRANSLATE(B3699, ""fr"", ""en"")"),"Best value for money in my conaissance The object itself is unbeatable in terms of price, for that price you will not find better boom microphone. Of course, at this price, we do not expect a high-end pole, but the pole is still relatively strong, much st"&amp;"ronger than I imagined otherwise. As you can see from the photo, perch hold my blue yeti without any problems, while the latter weighs his weight, so no problem on that side.")</f>
        <v>Best value for money in my conaissance The object itself is unbeatable in terms of price, for that price you will not find better boom microphone. Of course, at this price, we do not expect a high-end pole, but the pole is still relatively strong, much stronger than I imagined otherwise. As you can see from the photo, perch hold my blue yeti without any problems, while the latter weighs his weight, so no problem on that side.</v>
      </c>
    </row>
    <row r="3700">
      <c r="A3700" s="1">
        <v>4.0</v>
      </c>
      <c r="B3700" s="1" t="s">
        <v>3665</v>
      </c>
      <c r="C3700" t="str">
        <f>IFERROR(__xludf.DUMMYFUNCTION("GOOGLETRANSLATE(B3700, ""fr"", ""en"")"),"not bad !!! considering the price, I expected a barely average stuff, just enough to make the journey from home to work, but frankly, it's a pleasant surprise !!! are certainly better, certainly, but at that price, it's a good price / quality! updated jus"&amp;"t a pity that there is no volume control on the remote suddenly I take it 1 star! nah!")</f>
        <v>not bad !!! considering the price, I expected a barely average stuff, just enough to make the journey from home to work, but frankly, it's a pleasant surprise !!! are certainly better, certainly, but at that price, it's a good price / quality! updated just a pity that there is no volume control on the remote suddenly I take it 1 star! nah!</v>
      </c>
    </row>
    <row r="3701">
      <c r="A3701" s="1">
        <v>5.0</v>
      </c>
      <c r="B3701" s="1" t="s">
        <v>3666</v>
      </c>
      <c r="C3701" t="str">
        <f>IFERROR(__xludf.DUMMYFUNCTION("GOOGLETRANSLATE(B3701, ""fr"", ""en"")"),"Tip top Very happy, great product, I am trying to try it, I took it to my problems shoulders and painful periods. It heats well, level 2 and 3, so glad I intend to provide Christmas for my parents.")</f>
        <v>Tip top Very happy, great product, I am trying to try it, I took it to my problems shoulders and painful periods. It heats well, level 2 and 3, so glad I intend to provide Christmas for my parents.</v>
      </c>
    </row>
    <row r="3702">
      <c r="A3702" s="1">
        <v>5.0</v>
      </c>
      <c r="B3702" s="1" t="s">
        <v>3667</v>
      </c>
      <c r="C3702" t="str">
        <f>IFERROR(__xludf.DUMMYFUNCTION("GOOGLETRANSLATE(B3702, ""fr"", ""en"")"),"Megaultra Very good headphones, I'm surprised")</f>
        <v>Megaultra Very good headphones, I'm surprised</v>
      </c>
    </row>
    <row r="3703">
      <c r="A3703" s="1">
        <v>5.0</v>
      </c>
      <c r="B3703" s="1" t="s">
        <v>3668</v>
      </c>
      <c r="C3703" t="str">
        <f>IFERROR(__xludf.DUMMYFUNCTION("GOOGLETRANSLATE(B3703, ""fr"", ""en"")"),"patalon good size as expected. Exactly what my daughter wanted.")</f>
        <v>patalon good size as expected. Exactly what my daughter wanted.</v>
      </c>
    </row>
    <row r="3704">
      <c r="A3704" s="1">
        <v>5.0</v>
      </c>
      <c r="B3704" s="1" t="s">
        <v>3669</v>
      </c>
      <c r="C3704" t="str">
        <f>IFERROR(__xludf.DUMMYFUNCTION("GOOGLETRANSLATE(B3704, ""fr"", ""en"")"),"Excellent product for muscle inflammation and after exercise. fast shipments; easy to use, quickly penetrating product; product used for less efficient muscle inflammation to muscle tears.")</f>
        <v>Excellent product for muscle inflammation and after exercise. fast shipments; easy to use, quickly penetrating product; product used for less efficient muscle inflammation to muscle tears.</v>
      </c>
    </row>
    <row r="3705">
      <c r="A3705" s="1">
        <v>5.0</v>
      </c>
      <c r="B3705" s="1" t="s">
        <v>3670</v>
      </c>
      <c r="C3705" t="str">
        <f>IFERROR(__xludf.DUMMYFUNCTION("GOOGLETRANSLATE(B3705, ""fr"", ""en"")"),"its mobility")</f>
        <v>its mobility</v>
      </c>
    </row>
    <row r="3706">
      <c r="A3706" s="1">
        <v>5.0</v>
      </c>
      <c r="B3706" s="1" t="s">
        <v>3671</v>
      </c>
      <c r="C3706" t="str">
        <f>IFERROR(__xludf.DUMMYFUNCTION("GOOGLETRANSLATE(B3706, ""fr"", ""en"")"),"perfect no complaints. It's perfect. the ink cartridges are for 36 photos. In fact, the cartridge is a series of parts 36 which rotates at each picture. So for each photo, a part is used. There is therefore the number of ink it takes to print 108 pictures"&amp;" (3 cartridges).")</f>
        <v>perfect no complaints. It's perfect. the ink cartridges are for 36 photos. In fact, the cartridge is a series of parts 36 which rotates at each picture. So for each photo, a part is used. There is therefore the number of ink it takes to print 108 pictures (3 cartridges).</v>
      </c>
    </row>
    <row r="3707">
      <c r="A3707" s="1">
        <v>5.0</v>
      </c>
      <c r="B3707" s="1" t="s">
        <v>3672</v>
      </c>
      <c r="C3707" t="str">
        <f>IFERROR(__xludf.DUMMYFUNCTION("GOOGLETRANSLATE(B3707, ""fr"", ""en"")"),"Top Good quality, same as picture")</f>
        <v>Top Good quality, same as picture</v>
      </c>
    </row>
    <row r="3708">
      <c r="A3708" s="1">
        <v>5.0</v>
      </c>
      <c r="B3708" s="1" t="s">
        <v>3673</v>
      </c>
      <c r="C3708" t="str">
        <f>IFERROR(__xludf.DUMMYFUNCTION("GOOGLETRANSLATE(B3708, ""fr"", ""en"")"),"Oil Super perfect! Fast delivery personalizes little message in small parcels The oil is very pleasant to apply, its scent is delicate and pleasant I really recommend this product")</f>
        <v>Oil Super perfect! Fast delivery personalizes little message in small parcels The oil is very pleasant to apply, its scent is delicate and pleasant I really recommend this product</v>
      </c>
    </row>
    <row r="3709">
      <c r="A3709" s="1">
        <v>5.0</v>
      </c>
      <c r="B3709" s="1" t="s">
        <v>3674</v>
      </c>
      <c r="C3709" t="str">
        <f>IFERROR(__xludf.DUMMYFUNCTION("GOOGLETRANSLATE(B3709, ""fr"", ""en"")"),"Excellent large mouse pad, seems solid, ""hangs"" in the office without a ""stick"" can be easily moved, the mouse glides well, happy with my purchase, 3,99 € hard to beat.")</f>
        <v>Excellent large mouse pad, seems solid, "hangs" in the office without a "stick" can be easily moved, the mouse glides well, happy with my purchase, 3,99 € hard to beat.</v>
      </c>
    </row>
    <row r="3710">
      <c r="A3710" s="1">
        <v>5.0</v>
      </c>
      <c r="B3710" s="1" t="s">
        <v>3675</v>
      </c>
      <c r="C3710" t="str">
        <f>IFERROR(__xludf.DUMMYFUNCTION("GOOGLETRANSLATE(B3710, ""fr"", ""en"")"),"Top Perfect beautiful shirt size well")</f>
        <v>Top Perfect beautiful shirt size well</v>
      </c>
    </row>
    <row r="3711">
      <c r="A3711" s="1">
        <v>5.0</v>
      </c>
      <c r="B3711" s="1" t="s">
        <v>3676</v>
      </c>
      <c r="C3711" t="str">
        <f>IFERROR(__xludf.DUMMYFUNCTION("GOOGLETRANSLATE(B3711, ""fr"", ""en"")"),"J adopts! Okay, I like this type of underwear that's put on the top and closed at the waist, very convenient for sports and good quality, I would recommend")</f>
        <v>J adopts! Okay, I like this type of underwear that's put on the top and closed at the waist, very convenient for sports and good quality, I would recommend</v>
      </c>
    </row>
    <row r="3712">
      <c r="A3712" s="1">
        <v>5.0</v>
      </c>
      <c r="B3712" s="1" t="s">
        <v>3677</v>
      </c>
      <c r="C3712" t="str">
        <f>IFERROR(__xludf.DUMMYFUNCTION("GOOGLETRANSLATE(B3712, ""fr"", ""en"")"),"Ideal to get back into the mythology book interesting because you can read an episode every day. The summary at the beginning lets remember the essential ideas every time.")</f>
        <v>Ideal to get back into the mythology book interesting because you can read an episode every day. The summary at the beginning lets remember the essential ideas every time.</v>
      </c>
    </row>
    <row r="3713">
      <c r="A3713" s="1">
        <v>5.0</v>
      </c>
      <c r="B3713" s="1" t="s">
        <v>3678</v>
      </c>
      <c r="C3713" t="str">
        <f>IFERROR(__xludf.DUMMYFUNCTION("GOOGLETRANSLATE(B3713, ""fr"", ""en"")"),"Very good value Very nice functional watch price with two analog / digital displays. Very easy to use with a quality finish. I recommend this product")</f>
        <v>Very good value Very nice functional watch price with two analog / digital displays. Very easy to use with a quality finish. I recommend this product</v>
      </c>
    </row>
    <row r="3714">
      <c r="A3714" s="1">
        <v>5.0</v>
      </c>
      <c r="B3714" s="1" t="s">
        <v>3679</v>
      </c>
      <c r="C3714" t="str">
        <f>IFERROR(__xludf.DUMMYFUNCTION("GOOGLETRANSLATE(B3714, ""fr"", ""en"")"),"Even prettier in real gift for the birthday of my sister, in fact its effect. I took the model in pink / blue, and the bracelet is even more beautiful in real than in pictures.")</f>
        <v>Even prettier in real gift for the birthday of my sister, in fact its effect. I took the model in pink / blue, and the bracelet is even more beautiful in real than in pictures.</v>
      </c>
    </row>
    <row r="3715">
      <c r="A3715" s="1">
        <v>5.0</v>
      </c>
      <c r="B3715" s="1" t="s">
        <v>3680</v>
      </c>
      <c r="C3715" t="str">
        <f>IFERROR(__xludf.DUMMYFUNCTION("GOOGLETRANSLATE(B3715, ""fr"", ""en"")"),"Superb quality &lt;div id = ""video-block-R2N52ADD0U8TMM"" class = ""a-section-spacing-small in-spacing-top mini video-block""&gt; &lt;/ div&gt; &lt;input type = ""hidden"" name = "" ""value ="" https://images-eu.ssl-images-amazon.com/images/I/915Uen7xQHS.mp4 ""class ="&amp;""" video-url ""&gt; &lt;input type ="" hidden ""name ="" ""value ="" https://images-eu.ssl-images-amazon.com/images/I/81QYrLwwBhS.png ""class ="" video-slate-img-url ""&gt; &amp; nbsp; shows Superb, quality is bluffing. Shows that recharges in the light, adjusting rad"&amp;"io controlled time, stopwatch, time ... But what I like most is when it lights in the dark when it is turned to either. I can not stop playing with it!")</f>
        <v>Superb quality &lt;div id = "video-block-R2N52ADD0U8TMM" class = "a-section-spacing-small in-spacing-top mini video-block"&gt; &lt;/ div&gt; &lt;input type = "hidden" name = " "value =" https://images-eu.ssl-images-amazon.com/images/I/915Uen7xQHS.mp4 "class =" video-url "&gt; &lt;input type =" hidden "name =" "value =" https://images-eu.ssl-images-amazon.com/images/I/81QYrLwwBhS.png "class =" video-slate-img-url "&gt; &amp; nbsp; shows Superb, quality is bluffing. Shows that recharges in the light, adjusting radio controlled time, stopwatch, time ... But what I like most is when it lights in the dark when it is turned to either. I can not stop playing with it!</v>
      </c>
    </row>
    <row r="3716">
      <c r="A3716" s="1">
        <v>2.0</v>
      </c>
      <c r="B3716" s="1" t="s">
        <v>3681</v>
      </c>
      <c r="C3716" t="str">
        <f>IFERROR(__xludf.DUMMYFUNCTION("GOOGLETRANSLATE(B3716, ""fr"", ""en"")"),"Insulated? The bag is very nice, not very big but enough to contain two small pots and a large bottle. As against the effect isothermal could use some work: small pot put in frozen, stood at ambient temperature less than 3 hours later. The same as in my d"&amp;"iaper bag, in short ... without interest, therefore.")</f>
        <v>Insulated? The bag is very nice, not very big but enough to contain two small pots and a large bottle. As against the effect isothermal could use some work: small pot put in frozen, stood at ambient temperature less than 3 hours later. The same as in my diaper bag, in short ... without interest, therefore.</v>
      </c>
    </row>
    <row r="3717">
      <c r="A3717" s="1">
        <v>1.0</v>
      </c>
      <c r="B3717" s="1" t="s">
        <v>3682</v>
      </c>
      <c r="C3717" t="str">
        <f>IFERROR(__xludf.DUMMYFUNCTION("GOOGLETRANSLATE(B3717, ""fr"", ""en"")"),"To avoid This size too large, there is no dress. Jai took the S it looks like L. No bending sleeves too wide. It is not as beautiful as the picture. Very disapointed")</f>
        <v>To avoid This size too large, there is no dress. Jai took the S it looks like L. No bending sleeves too wide. It is not as beautiful as the picture. Very disapointed</v>
      </c>
    </row>
    <row r="3718">
      <c r="A3718" s="1">
        <v>1.0</v>
      </c>
      <c r="B3718" s="1" t="s">
        <v>3683</v>
      </c>
      <c r="C3718" t="str">
        <f>IFERROR(__xludf.DUMMYFUNCTION("GOOGLETRANSLATE(B3718, ""fr"", ""en"")"),"Disappointed Very disappointed after 2 months the sole is off")</f>
        <v>Disappointed Very disappointed after 2 months the sole is off</v>
      </c>
    </row>
    <row r="3719">
      <c r="A3719" s="1">
        <v>3.0</v>
      </c>
      <c r="B3719" s="1" t="s">
        <v>3684</v>
      </c>
      <c r="C3719" t="str">
        <f>IFERROR(__xludf.DUMMYFUNCTION("GOOGLETRANSLATE(B3719, ""fr"", ""en"")"),"Solid, nice BUT not for the pedometer too random Mixed review for this little watch albeit very strong, very beautiful !! Obviously this is G-SHOCK In this it keeps its promises ... However small problem when the pedometer has a function that deserves to "&amp;"be reviewed ...")</f>
        <v>Solid, nice BUT not for the pedometer too random Mixed review for this little watch albeit very strong, very beautiful !! Obviously this is G-SHOCK In this it keeps its promises ... However small problem when the pedometer has a function that deserves to be reviewed ...</v>
      </c>
    </row>
    <row r="3720">
      <c r="A3720" s="1">
        <v>4.0</v>
      </c>
      <c r="B3720" s="1" t="s">
        <v>3685</v>
      </c>
      <c r="C3720" t="str">
        <f>IFERROR(__xludf.DUMMYFUNCTION("GOOGLETRANSLATE(B3720, ""fr"", ""en"")"),"Does its job! Sufficient for its usefulness. Can find cheaper elsewhere but helps out tremendously. I recommend")</f>
        <v>Does its job! Sufficient for its usefulness. Can find cheaper elsewhere but helps out tremendously. I recommend</v>
      </c>
    </row>
    <row r="3721">
      <c r="A3721" s="1">
        <v>4.0</v>
      </c>
      <c r="B3721" s="1" t="s">
        <v>3686</v>
      </c>
      <c r="C3721" t="str">
        <f>IFERROR(__xludf.DUMMYFUNCTION("GOOGLETRANSLATE(B3721, ""fr"", ""en"")"),"Very good product The pros: helmet is beautiful and it looks solid; the product corresponds to the image. Sending fast. The -: the pads are a bit hard and the noise reduction is not complete. To use non-professional that I am, this headset is very well vr"&amp;"aimement")</f>
        <v>Very good product The pros: helmet is beautiful and it looks solid; the product corresponds to the image. Sending fast. The -: the pads are a bit hard and the noise reduction is not complete. To use non-professional that I am, this headset is very well vraimement</v>
      </c>
    </row>
    <row r="3722">
      <c r="A3722" s="1">
        <v>4.0</v>
      </c>
      <c r="B3722" s="1" t="s">
        <v>3687</v>
      </c>
      <c r="C3722" t="str">
        <f>IFERROR(__xludf.DUMMYFUNCTION("GOOGLETRANSLATE(B3722, ""fr"", ""en"")"),"Nice watch Bought for a friend on her birthday, the design is nice but I find too pronounced gold color which can make the jewel effect a low-end damage")</f>
        <v>Nice watch Bought for a friend on her birthday, the design is nice but I find too pronounced gold color which can make the jewel effect a low-end damage</v>
      </c>
    </row>
    <row r="3723">
      <c r="A3723" s="1">
        <v>4.0</v>
      </c>
      <c r="B3723" s="1" t="s">
        <v>3688</v>
      </c>
      <c r="C3723" t="str">
        <f>IFERROR(__xludf.DUMMYFUNCTION("GOOGLETRANSLATE(B3723, ""fr"", ""en"")"),"Size large I should have taken an L rather than a XL Otherwise all is well")</f>
        <v>Size large I should have taken an L rather than a XL Otherwise all is well</v>
      </c>
    </row>
    <row r="3724">
      <c r="A3724" s="1">
        <v>5.0</v>
      </c>
      <c r="B3724" s="1" t="s">
        <v>3689</v>
      </c>
      <c r="C3724" t="str">
        <f>IFERROR(__xludf.DUMMYFUNCTION("GOOGLETRANSLATE(B3724, ""fr"", ""en"")"),"The TOP sequins top notch, the most stubborn stains leave super good, respect for the machine and nickel for very dirty towel, received quickly I will buy this product")</f>
        <v>The TOP sequins top notch, the most stubborn stains leave super good, respect for the machine and nickel for very dirty towel, received quickly I will buy this product</v>
      </c>
    </row>
    <row r="3725">
      <c r="A3725" s="1">
        <v>5.0</v>
      </c>
      <c r="B3725" s="1" t="s">
        <v>3690</v>
      </c>
      <c r="C3725" t="str">
        <f>IFERROR(__xludf.DUMMYFUNCTION("GOOGLETRANSLATE(B3725, ""fr"", ""en"")"),"stunner (for the price) my overall rating is the seller, the product and the delivery man (well the delivery girl). The delivery was more than met. Reading the reviews before buying, I was rather in expectation, but the first few minutes my wife and I hav"&amp;"e adopted without problem. I like when it's a little rough, and the movement of the balls does not bother me. My wife uses a folded towel to alleviate some hardness, in short, all the world is there, and we did a few sessions of physio economy.")</f>
        <v>stunner (for the price) my overall rating is the seller, the product and the delivery man (well the delivery girl). The delivery was more than met. Reading the reviews before buying, I was rather in expectation, but the first few minutes my wife and I have adopted without problem. I like when it's a little rough, and the movement of the balls does not bother me. My wife uses a folded towel to alleviate some hardness, in short, all the world is there, and we did a few sessions of physio economy.</v>
      </c>
    </row>
    <row r="3726">
      <c r="A3726" s="1">
        <v>5.0</v>
      </c>
      <c r="B3726" s="1" t="s">
        <v>3691</v>
      </c>
      <c r="C3726" t="str">
        <f>IFERROR(__xludf.DUMMYFUNCTION("GOOGLETRANSLATE(B3726, ""fr"", ""en"")"),"Very well very well!")</f>
        <v>Very well very well!</v>
      </c>
    </row>
    <row r="3727">
      <c r="A3727" s="1">
        <v>5.0</v>
      </c>
      <c r="B3727" s="1" t="s">
        <v>3692</v>
      </c>
      <c r="C3727" t="str">
        <f>IFERROR(__xludf.DUMMYFUNCTION("GOOGLETRANSLATE(B3727, ""fr"", ""en"")"),"Perfect This product is really perfect, and does its job well, I'm very anti-pop content.Filtre basic that wiped out the pop sounds, works very well with good clip acrocher to an articulated arm.")</f>
        <v>Perfect This product is really perfect, and does its job well, I'm very anti-pop content.Filtre basic that wiped out the pop sounds, works very well with good clip acrocher to an articulated arm.</v>
      </c>
    </row>
    <row r="3728">
      <c r="A3728" s="1">
        <v>5.0</v>
      </c>
      <c r="B3728" s="1" t="s">
        <v>3693</v>
      </c>
      <c r="C3728" t="str">
        <f>IFERROR(__xludf.DUMMYFUNCTION("GOOGLETRANSLATE(B3728, ""fr"", ""en"")"),"practical, aesthetic and easy to NOT use outdoor splash when water is boiling, large capacity (1.7 liters)")</f>
        <v>practical, aesthetic and easy to NOT use outdoor splash when water is boiling, large capacity (1.7 liters)</v>
      </c>
    </row>
    <row r="3729">
      <c r="A3729" s="1">
        <v>5.0</v>
      </c>
      <c r="B3729" s="1" t="s">
        <v>3694</v>
      </c>
      <c r="C3729" t="str">
        <f>IFERROR(__xludf.DUMMYFUNCTION("GOOGLETRANSLATE(B3729, ""fr"", ""en"")"),"Perfect I'm very happy with my new watch, easy to use and then they even have a manual in several very practical language to be able to régler.livrer in a plastic case.")</f>
        <v>Perfect I'm very happy with my new watch, easy to use and then they even have a manual in several very practical language to be able to régler.livrer in a plastic case.</v>
      </c>
    </row>
    <row r="3730">
      <c r="A3730" s="1">
        <v>5.0</v>
      </c>
      <c r="B3730" s="1" t="s">
        <v>3695</v>
      </c>
      <c r="C3730" t="str">
        <f>IFERROR(__xludf.DUMMYFUNCTION("GOOGLETRANSLATE(B3730, ""fr"", ""en"")"),"Nice effect No complaints about quality. Nice effect for a very reasonable price")</f>
        <v>Nice effect No complaints about quality. Nice effect for a very reasonable price</v>
      </c>
    </row>
    <row r="3731">
      <c r="A3731" s="1">
        <v>5.0</v>
      </c>
      <c r="B3731" s="1" t="s">
        <v>3696</v>
      </c>
      <c r="C3731" t="str">
        <f>IFERROR(__xludf.DUMMYFUNCTION("GOOGLETRANSLATE(B3731, ""fr"", ""en"")"),"In gadou style! one day we all need to go to toy in our garden, wading through gadou ... It takes for all tastes. Well with these boots there, it feels a little less amiss! On the amazing quality, durable all-weather, rainproof and Karcher (and yes I have"&amp;" tested the pressure on the foot, you feel nothing!) A great product for a brand used to the gum and rubber!")</f>
        <v>In gadou style! one day we all need to go to toy in our garden, wading through gadou ... It takes for all tastes. Well with these boots there, it feels a little less amiss! On the amazing quality, durable all-weather, rainproof and Karcher (and yes I have tested the pressure on the foot, you feel nothing!) A great product for a brand used to the gum and rubber!</v>
      </c>
    </row>
    <row r="3732">
      <c r="A3732" s="1">
        <v>5.0</v>
      </c>
      <c r="B3732" s="1" t="s">
        <v>3697</v>
      </c>
      <c r="C3732" t="str">
        <f>IFERROR(__xludf.DUMMYFUNCTION("GOOGLETRANSLATE(B3732, ""fr"", ""en"")"),"Ras Okay")</f>
        <v>Ras Okay</v>
      </c>
    </row>
    <row r="3733">
      <c r="A3733" s="1">
        <v>5.0</v>
      </c>
      <c r="B3733" s="1" t="s">
        <v>3698</v>
      </c>
      <c r="C3733" t="str">
        <f>IFERROR(__xludf.DUMMYFUNCTION("GOOGLETRANSLATE(B3733, ""fr"", ""en"")"),"Excellent value for money! I recommend Very useful, absorbs odors, moisture, in any place! Super convenient and reusable")</f>
        <v>Excellent value for money! I recommend Very useful, absorbs odors, moisture, in any place! Super convenient and reusable</v>
      </c>
    </row>
    <row r="3734">
      <c r="A3734" s="1">
        <v>5.0</v>
      </c>
      <c r="B3734" s="1" t="s">
        <v>3699</v>
      </c>
      <c r="C3734" t="str">
        <f>IFERROR(__xludf.DUMMYFUNCTION("GOOGLETRANSLATE(B3734, ""fr"", ""en"")"),"A must have! Perfect helmet, arrived in excellent condition. Rich bass as acute: a well-balanced product! What is best in this price range. The design is simple and flawless finish. I recommand it!")</f>
        <v>A must have! Perfect helmet, arrived in excellent condition. Rich bass as acute: a well-balanced product! What is best in this price range. The design is simple and flawless finish. I recommand it!</v>
      </c>
    </row>
    <row r="3735">
      <c r="A3735" s="1">
        <v>5.0</v>
      </c>
      <c r="B3735" s="1" t="s">
        <v>3700</v>
      </c>
      <c r="C3735" t="str">
        <f>IFERROR(__xludf.DUMMYFUNCTION("GOOGLETRANSLATE(B3735, ""fr"", ""en"")"),"Good product Satisfied by the product. Fragrance pleasant. inouvrable package for children")</f>
        <v>Good product Satisfied by the product. Fragrance pleasant. inouvrable package for children</v>
      </c>
    </row>
    <row r="3736">
      <c r="A3736" s="1">
        <v>5.0</v>
      </c>
      <c r="B3736" s="1" t="s">
        <v>3701</v>
      </c>
      <c r="C3736" t="str">
        <f>IFERROR(__xludf.DUMMYFUNCTION("GOOGLETRANSLATE(B3736, ""fr"", ""en"")"),"Pleasant satisfied")</f>
        <v>Pleasant satisfied</v>
      </c>
    </row>
    <row r="3737">
      <c r="A3737" s="1">
        <v>5.0</v>
      </c>
      <c r="B3737" s="1" t="s">
        <v>3702</v>
      </c>
      <c r="C3737" t="str">
        <f>IFERROR(__xludf.DUMMYFUNCTION("GOOGLETRANSLATE(B3737, ""fr"", ""en"")"),"MVPOWER Heated Mattress 150 x 80 cm, compliant C.E MVPOWER Heated Mattress 150 x 80 cm, 3 Levels Temperature Protection Against Overheating Pro article - complies easy hot to sleep and healthy when-alone. see you soon")</f>
        <v>MVPOWER Heated Mattress 150 x 80 cm, compliant C.E MVPOWER Heated Mattress 150 x 80 cm, 3 Levels Temperature Protection Against Overheating Pro article - complies easy hot to sleep and healthy when-alone. see you soon</v>
      </c>
    </row>
    <row r="3738">
      <c r="A3738" s="1">
        <v>5.0</v>
      </c>
      <c r="B3738" s="1" t="s">
        <v>3703</v>
      </c>
      <c r="C3738" t="str">
        <f>IFERROR(__xludf.DUMMYFUNCTION("GOOGLETRANSLATE(B3738, ""fr"", ""en"")"),"Very nice watch! Shows look great on the wrist. It's perfect for a dressy casual style or more. To have in his watch collection without hesitation.")</f>
        <v>Very nice watch! Shows look great on the wrist. It's perfect for a dressy casual style or more. To have in his watch collection without hesitation.</v>
      </c>
    </row>
    <row r="3739">
      <c r="A3739" s="1">
        <v>2.0</v>
      </c>
      <c r="B3739" s="1" t="s">
        <v>3704</v>
      </c>
      <c r="C3739" t="str">
        <f>IFERROR(__xludf.DUMMYFUNCTION("GOOGLETRANSLATE(B3739, ""fr"", ""en"")"),"Have only three Mesh Baskets ... Hello, I already had these four teats with speed so 4 holes in them. I bought in because some began to deteriorate after two years. What is my surprise this morning to see preparing breakfast for my daughter as yet rated s"&amp;"peed teats 4 have only three Mesh Baskets? Unlike my old who 4 well? I am very unhappy to see that we had a good laugh at me ...")</f>
        <v>Have only three Mesh Baskets ... Hello, I already had these four teats with speed so 4 holes in them. I bought in because some began to deteriorate after two years. What is my surprise this morning to see preparing breakfast for my daughter as yet rated speed teats 4 have only three Mesh Baskets? Unlike my old who 4 well? I am very unhappy to see that we had a good laugh at me ...</v>
      </c>
    </row>
    <row r="3740">
      <c r="A3740" s="1">
        <v>1.0</v>
      </c>
      <c r="B3740" s="1" t="s">
        <v>3705</v>
      </c>
      <c r="C3740" t="str">
        <f>IFERROR(__xludf.DUMMYFUNCTION("GOOGLETRANSLATE(B3740, ""fr"", ""en"")"),"I do not recommend! I bought these bottles following all the good reviews, but I am very deçue and absolutely not recommended !!!!!!!! 1) the bottles do not fit into conventional microwave (too large bottles ...) 2) in the heating with a conventional bott"&amp;"le warmer, the plastic is burning while the water inside is cold ... 3) my daughter used to drink with a speed of 3 nipple, and with mam baby bottles, the flow is too fast, she choked several times, she could not follow the flow then there had milk everyw"&amp;"here! In short, go your way!")</f>
        <v>I do not recommend! I bought these bottles following all the good reviews, but I am very deçue and absolutely not recommended !!!!!!!! 1) the bottles do not fit into conventional microwave (too large bottles ...) 2) in the heating with a conventional bottle warmer, the plastic is burning while the water inside is cold ... 3) my daughter used to drink with a speed of 3 nipple, and with mam baby bottles, the flow is too fast, she choked several times, she could not follow the flow then there had milk everywhere! In short, go your way!</v>
      </c>
    </row>
    <row r="3741">
      <c r="A3741" s="1">
        <v>3.0</v>
      </c>
      <c r="B3741" s="1" t="s">
        <v>3706</v>
      </c>
      <c r="C3741" t="str">
        <f>IFERROR(__xludf.DUMMYFUNCTION("GOOGLETRANSLATE(B3741, ""fr"", ""en"")"),"cheap so we came in for our money package late I needed a sweater not too expensive because my daughter wanted to customize it so it is the case. the fabric is a bit cheap but for the price it's still very good. the hood is curiously made (rather than one"&amp;" pieces of fabric with a hem for the passage of the cord, the fabric is folded in two without slides so the cord will ride between the two thicknesses and two thicknesses do not reach a well up. sweat the small size but it's shown I have therefore commiss"&amp;"ioned a plus size and it just goes.")</f>
        <v>cheap so we came in for our money package late I needed a sweater not too expensive because my daughter wanted to customize it so it is the case. the fabric is a bit cheap but for the price it's still very good. the hood is curiously made (rather than one pieces of fabric with a hem for the passage of the cord, the fabric is folded in two without slides so the cord will ride between the two thicknesses and two thicknesses do not reach a well up. sweat the small size but it's shown I have therefore commissioned a plus size and it just goes.</v>
      </c>
    </row>
    <row r="3742">
      <c r="A3742" s="1">
        <v>3.0</v>
      </c>
      <c r="B3742" s="1" t="s">
        <v>3707</v>
      </c>
      <c r="C3742" t="str">
        <f>IFERROR(__xludf.DUMMYFUNCTION("GOOGLETRANSLATE(B3742, ""fr"", ""en"")"),"Guard terrain time Surprised that the commissioning of the watch 2010 appeared! Not sure that the battery lasts 10 years? Warning for purists no countdown but indicated in the description. simplissime lightweight watch settings can be fragile bracelet? Bu"&amp;"t in this current range Casio enough and for the price ... What bothered me most, food.")</f>
        <v>Guard terrain time Surprised that the commissioning of the watch 2010 appeared! Not sure that the battery lasts 10 years? Warning for purists no countdown but indicated in the description. simplissime lightweight watch settings can be fragile bracelet? But in this current range Casio enough and for the price ... What bothered me most, food.</v>
      </c>
    </row>
    <row r="3743">
      <c r="A3743" s="1">
        <v>4.0</v>
      </c>
      <c r="B3743" s="1" t="s">
        <v>3708</v>
      </c>
      <c r="C3743" t="str">
        <f>IFERROR(__xludf.DUMMYFUNCTION("GOOGLETRANSLATE(B3743, ""fr"", ""en"")"),"Good Very good")</f>
        <v>Good Very good</v>
      </c>
    </row>
    <row r="3744">
      <c r="A3744" s="1">
        <v>4.0</v>
      </c>
      <c r="B3744" s="1" t="s">
        <v>3709</v>
      </c>
      <c r="C3744" t="str">
        <f>IFERROR(__xludf.DUMMYFUNCTION("GOOGLETRANSLATE(B3744, ""fr"", ""en"")"),"Beloved practical and consistent practice")</f>
        <v>Beloved practical and consistent practice</v>
      </c>
    </row>
    <row r="3745">
      <c r="A3745" s="1">
        <v>4.0</v>
      </c>
      <c r="B3745" s="1" t="s">
        <v>3710</v>
      </c>
      <c r="C3745" t="str">
        <f>IFERROR(__xludf.DUMMYFUNCTION("GOOGLETRANSLATE(B3745, ""fr"", ""en"")"),"against stroke and pain massage oil has the famous arnica but this is the best and expensive month when .toujours pharmacy having to wear hand")</f>
        <v>against stroke and pain massage oil has the famous arnica but this is the best and expensive month when .toujours pharmacy having to wear hand</v>
      </c>
    </row>
    <row r="3746">
      <c r="A3746" s="1">
        <v>4.0</v>
      </c>
      <c r="B3746" s="1" t="s">
        <v>3711</v>
      </c>
      <c r="C3746" t="str">
        <f>IFERROR(__xludf.DUMMYFUNCTION("GOOGLETRANSLATE(B3746, ""fr"", ""en"")"),"Although Nice product. Size compliant.")</f>
        <v>Although Nice product. Size compliant.</v>
      </c>
    </row>
    <row r="3747">
      <c r="A3747" s="1">
        <v>5.0</v>
      </c>
      <c r="B3747" s="1" t="s">
        <v>3712</v>
      </c>
      <c r="C3747" t="str">
        <f>IFERROR(__xludf.DUMMYFUNCTION("GOOGLETRANSLATE(B3747, ""fr"", ""en"")"),"change of air! I already knew. better than incense for those who resent combustion smoke and scent that lingers long. very pleasant and efficient ............. I love.")</f>
        <v>change of air! I already knew. better than incense for those who resent combustion smoke and scent that lingers long. very pleasant and efficient ............. I love.</v>
      </c>
    </row>
    <row r="3748">
      <c r="A3748" s="1">
        <v>5.0</v>
      </c>
      <c r="B3748" s="1" t="s">
        <v>3713</v>
      </c>
      <c r="C3748" t="str">
        <f>IFERROR(__xludf.DUMMYFUNCTION("GOOGLETRANSLATE(B3748, ""fr"", ""en"")"),"Shoes Really good shoes, very lightweight and discreet, which I do not like flashy shoes I am. The quality / price is excellent I think, to see in time.")</f>
        <v>Shoes Really good shoes, very lightweight and discreet, which I do not like flashy shoes I am. The quality / price is excellent I think, to see in time.</v>
      </c>
    </row>
    <row r="3749">
      <c r="A3749" s="1">
        <v>5.0</v>
      </c>
      <c r="B3749" s="1" t="s">
        <v>3714</v>
      </c>
      <c r="C3749" t="str">
        <f>IFERROR(__xludf.DUMMYFUNCTION("GOOGLETRANSLATE(B3749, ""fr"", ""en"")"),"Delighted gift for my mother, no special occasion. She is delighted and me too")</f>
        <v>Delighted gift for my mother, no special occasion. She is delighted and me too</v>
      </c>
    </row>
    <row r="3750">
      <c r="A3750" s="1">
        <v>5.0</v>
      </c>
      <c r="B3750" s="1" t="s">
        <v>3715</v>
      </c>
      <c r="C3750" t="str">
        <f>IFERROR(__xludf.DUMMYFUNCTION("GOOGLETRANSLATE(B3750, ""fr"", ""en"")"),"Jerome RAS")</f>
        <v>Jerome RAS</v>
      </c>
    </row>
    <row r="3751">
      <c r="A3751" s="1">
        <v>5.0</v>
      </c>
      <c r="B3751" s="1" t="s">
        <v>3716</v>
      </c>
      <c r="C3751" t="str">
        <f>IFERROR(__xludf.DUMMYFUNCTION("GOOGLETRANSLATE(B3751, ""fr"", ""en"")"),"How to say, it's ba Originals Nothing to add is original cartridges")</f>
        <v>How to say, it's ba Originals Nothing to add is original cartridges</v>
      </c>
    </row>
    <row r="3752">
      <c r="A3752" s="1">
        <v>5.0</v>
      </c>
      <c r="B3752" s="1" t="s">
        <v>3717</v>
      </c>
      <c r="C3752" t="str">
        <f>IFERROR(__xludf.DUMMYFUNCTION("GOOGLETRANSLATE(B3752, ""fr"", ""en"")"),"Very satisfied I already had his headphones and I love it's original that I had with my S8. I recommend.")</f>
        <v>Very satisfied I already had his headphones and I love it's original that I had with my S8. I recommend.</v>
      </c>
    </row>
    <row r="3753">
      <c r="A3753" s="1">
        <v>5.0</v>
      </c>
      <c r="B3753" s="1" t="s">
        <v>3718</v>
      </c>
      <c r="C3753" t="str">
        <f>IFERROR(__xludf.DUMMYFUNCTION("GOOGLETRANSLATE(B3753, ""fr"", ""en"")"),"Frankly very good sound, the sound is very good, fast coupling, efficient control, charging of the battery via the storage box or directly to the helmet using the adapter. With an effective, the helmet fits snugly in the ear, even in a sporting environmen"&amp;"t. I recommend this product has 200 percent")</f>
        <v>Frankly very good sound, the sound is very good, fast coupling, efficient control, charging of the battery via the storage box or directly to the helmet using the adapter. With an effective, the helmet fits snugly in the ear, even in a sporting environment. I recommend this product has 200 percent</v>
      </c>
    </row>
    <row r="3754">
      <c r="A3754" s="1">
        <v>5.0</v>
      </c>
      <c r="B3754" s="1" t="s">
        <v>3719</v>
      </c>
      <c r="C3754" t="str">
        <f>IFERROR(__xludf.DUMMYFUNCTION("GOOGLETRANSLATE(B3754, ""fr"", ""en"")"),"very pretty, comfortable, they heat a little late in the day but I'm happy")</f>
        <v>very pretty, comfortable, they heat a little late in the day but I'm happy</v>
      </c>
    </row>
    <row r="3755">
      <c r="A3755" s="1">
        <v>5.0</v>
      </c>
      <c r="B3755" s="1" t="s">
        <v>3720</v>
      </c>
      <c r="C3755" t="str">
        <f>IFERROR(__xludf.DUMMYFUNCTION("GOOGLETRANSLATE(B3755, ""fr"", ""en"")"),"This is a stylish gift, my partner loved it.")</f>
        <v>This is a stylish gift, my partner loved it.</v>
      </c>
    </row>
    <row r="3756">
      <c r="A3756" s="1">
        <v>5.0</v>
      </c>
      <c r="B3756" s="1" t="s">
        <v>3721</v>
      </c>
      <c r="C3756" t="str">
        <f>IFERROR(__xludf.DUMMYFUNCTION("GOOGLETRANSLATE(B3756, ""fr"", ""en"")"),"Perfect for the price perfect, by size against slightly larger and a little loose so take good size if it is between two take below.")</f>
        <v>Perfect for the price perfect, by size against slightly larger and a little loose so take good size if it is between two take below.</v>
      </c>
    </row>
    <row r="3757">
      <c r="A3757" s="1">
        <v>5.0</v>
      </c>
      <c r="B3757" s="1" t="s">
        <v>3722</v>
      </c>
      <c r="C3757" t="str">
        <f>IFERROR(__xludf.DUMMYFUNCTION("GOOGLETRANSLATE(B3757, ""fr"", ""en"")"),"Very good and inexpensive gift that my daughter shared with her school friend. Well finished and durable. Very pretty")</f>
        <v>Very good and inexpensive gift that my daughter shared with her school friend. Well finished and durable. Very pretty</v>
      </c>
    </row>
    <row r="3758">
      <c r="A3758" s="1">
        <v>5.0</v>
      </c>
      <c r="B3758" s="1" t="s">
        <v>1417</v>
      </c>
      <c r="C3758" t="str">
        <f>IFERROR(__xludf.DUMMYFUNCTION("GOOGLETRANSLATE(B3758, ""fr"", ""en"")"),"ras ras")</f>
        <v>ras ras</v>
      </c>
    </row>
    <row r="3759">
      <c r="A3759" s="1">
        <v>5.0</v>
      </c>
      <c r="B3759" s="1" t="s">
        <v>3723</v>
      </c>
      <c r="C3759" t="str">
        <f>IFERROR(__xludf.DUMMYFUNCTION("GOOGLETRANSLATE(B3759, ""fr"", ""en"")"),"sneakers great value bascket good and pleasant to wear")</f>
        <v>sneakers great value bascket good and pleasant to wear</v>
      </c>
    </row>
    <row r="3760">
      <c r="A3760" s="1">
        <v>5.0</v>
      </c>
      <c r="B3760" s="1" t="s">
        <v>3724</v>
      </c>
      <c r="C3760" t="str">
        <f>IFERROR(__xludf.DUMMYFUNCTION("GOOGLETRANSLATE(B3760, ""fr"", ""en"")"),"Perfect Excellent value. Comfortable (tall), easy maintenance. As soon as I get home, I put it, I am so comfortable in it! I have already purchased in 4 colors. Only the purple is not comfortable, it is a low rise is too small as I always take the same si"&amp;"ze.")</f>
        <v>Perfect Excellent value. Comfortable (tall), easy maintenance. As soon as I get home, I put it, I am so comfortable in it! I have already purchased in 4 colors. Only the purple is not comfortable, it is a low rise is too small as I always take the same size.</v>
      </c>
    </row>
    <row r="3761">
      <c r="A3761" s="1">
        <v>5.0</v>
      </c>
      <c r="B3761" s="1" t="s">
        <v>3725</v>
      </c>
      <c r="C3761" t="str">
        <f>IFERROR(__xludf.DUMMYFUNCTION("GOOGLETRANSLATE(B3761, ""fr"", ""en"")"),"Super bag Very good product")</f>
        <v>Super bag Very good product</v>
      </c>
    </row>
    <row r="3762">
      <c r="A3762" s="1">
        <v>2.0</v>
      </c>
      <c r="B3762" s="1" t="s">
        <v>3726</v>
      </c>
      <c r="C3762" t="str">
        <f>IFERROR(__xludf.DUMMYFUNCTION("GOOGLETRANSLATE(B3762, ""fr"", ""en"")"),"Nondurable very disappointed, pretty but received several deformations despite proper packaging")</f>
        <v>Nondurable very disappointed, pretty but received several deformations despite proper packaging</v>
      </c>
    </row>
    <row r="3763">
      <c r="A3763" s="1">
        <v>1.0</v>
      </c>
      <c r="B3763" s="1" t="s">
        <v>3727</v>
      </c>
      <c r="C3763" t="str">
        <f>IFERROR(__xludf.DUMMYFUNCTION("GOOGLETRANSLATE(B3763, ""fr"", ""en"")"),"Tétière very poor Comfortable and thick. Good food at first. As against the quality of the headrest is unacceptable. One of my clients has hurt the cervical because of this very low clamping system.")</f>
        <v>Tétière very poor Comfortable and thick. Good food at first. As against the quality of the headrest is unacceptable. One of my clients has hurt the cervical because of this very low clamping system.</v>
      </c>
    </row>
    <row r="3764">
      <c r="A3764" s="1">
        <v>1.0</v>
      </c>
      <c r="B3764" s="1" t="s">
        <v>3728</v>
      </c>
      <c r="C3764" t="str">
        <f>IFERROR(__xludf.DUMMYFUNCTION("GOOGLETRANSLATE(B3764, ""fr"", ""en"")"),"Disappointed .. Too small! Not easy to clean if by misfortune cheese than on the sides. And the first night of use, it broke down!")</f>
        <v>Disappointed .. Too small! Not easy to clean if by misfortune cheese than on the sides. And the first night of use, it broke down!</v>
      </c>
    </row>
    <row r="3765">
      <c r="A3765" s="1">
        <v>3.0</v>
      </c>
      <c r="B3765" s="1" t="s">
        <v>3729</v>
      </c>
      <c r="C3765" t="str">
        <f>IFERROR(__xludf.DUMMYFUNCTION("GOOGLETRANSLATE(B3765, ""fr"", ""en"")"),"A little gadget ... To see the time but I'm disappointed for the moment because the product is in difficulties to quickly mix a bottle of milk thickened.")</f>
        <v>A little gadget ... To see the time but I'm disappointed for the moment because the product is in difficulties to quickly mix a bottle of milk thickened.</v>
      </c>
    </row>
    <row r="3766">
      <c r="A3766" s="1">
        <v>3.0</v>
      </c>
      <c r="B3766" s="1" t="s">
        <v>3730</v>
      </c>
      <c r="C3766" t="str">
        <f>IFERROR(__xludf.DUMMYFUNCTION("GOOGLETRANSLATE(B3766, ""fr"", ""en"")"),"TIMING I DIFFICUTES ""galley"" a little to the setting of the altimeter and barometer, for lack of specific instructions in the manual, must be found in French!")</f>
        <v>TIMING I DIFFICUTES "galley" a little to the setting of the altimeter and barometer, for lack of specific instructions in the manual, must be found in French!</v>
      </c>
    </row>
    <row r="3767">
      <c r="A3767" s="1">
        <v>4.0</v>
      </c>
      <c r="B3767" s="1" t="s">
        <v>3731</v>
      </c>
      <c r="C3767" t="str">
        <f>IFERROR(__xludf.DUMMYFUNCTION("GOOGLETRANSLATE(B3767, ""fr"", ""en"")"),"Aspire good for the car it is fine")</f>
        <v>Aspire good for the car it is fine</v>
      </c>
    </row>
    <row r="3768">
      <c r="A3768" s="1">
        <v>4.0</v>
      </c>
      <c r="B3768" s="1" t="s">
        <v>3732</v>
      </c>
      <c r="C3768" t="str">
        <f>IFERROR(__xludf.DUMMYFUNCTION("GOOGLETRANSLATE(B3768, ""fr"", ""en"")"),"very good buy for trying dozens of pairs of work shoes, those are very comfortable, walking is pleasant, and the air of very good quality. only point where I did not put 5 stars is that I found a bit heavy.")</f>
        <v>very good buy for trying dozens of pairs of work shoes, those are very comfortable, walking is pleasant, and the air of very good quality. only point where I did not put 5 stars is that I found a bit heavy.</v>
      </c>
    </row>
    <row r="3769">
      <c r="A3769" s="1">
        <v>4.0</v>
      </c>
      <c r="B3769" s="1" t="s">
        <v>3733</v>
      </c>
      <c r="C3769" t="str">
        <f>IFERROR(__xludf.DUMMYFUNCTION("GOOGLETRANSLATE(B3769, ""fr"", ""en"")"),"Compliant Product in relation to its price")</f>
        <v>Compliant Product in relation to its price</v>
      </c>
    </row>
    <row r="3770">
      <c r="A3770" s="1">
        <v>4.0</v>
      </c>
      <c r="B3770" s="1" t="s">
        <v>3734</v>
      </c>
      <c r="C3770" t="str">
        <f>IFERROR(__xludf.DUMMYFUNCTION("GOOGLETRANSLATE(B3770, ""fr"", ""en"")"),"Pretty and practical Very nice bag that I use every day to carry my business work, the seams around the small external zippered pouch were quickly defeated then I fixed myself ..")</f>
        <v>Pretty and practical Very nice bag that I use every day to carry my business work, the seams around the small external zippered pouch were quickly defeated then I fixed myself ..</v>
      </c>
    </row>
    <row r="3771">
      <c r="A3771" s="1">
        <v>5.0</v>
      </c>
      <c r="B3771" s="1" t="s">
        <v>3735</v>
      </c>
      <c r="C3771" t="str">
        <f>IFERROR(__xludf.DUMMYFUNCTION("GOOGLETRANSLATE(B3771, ""fr"", ""en"")"),"Very satisfied !! The oils have arrived in a beautiful box. I put essential oils in my diffuser and it feels super good! pleasant smell and not heady. I recommend.")</f>
        <v>Very satisfied !! The oils have arrived in a beautiful box. I put essential oils in my diffuser and it feels super good! pleasant smell and not heady. I recommend.</v>
      </c>
    </row>
    <row r="3772">
      <c r="A3772" s="1">
        <v>5.0</v>
      </c>
      <c r="B3772" s="1" t="s">
        <v>3736</v>
      </c>
      <c r="C3772" t="str">
        <f>IFERROR(__xludf.DUMMYFUNCTION("GOOGLETRANSLATE(B3772, ""fr"", ""en"")"),"Good nice product wear Very good product. Quality .confort very well very well. And just size.")</f>
        <v>Good nice product wear Very good product. Quality .confort very well very well. And just size.</v>
      </c>
    </row>
    <row r="3773">
      <c r="A3773" s="1">
        <v>5.0</v>
      </c>
      <c r="B3773" s="1" t="s">
        <v>3737</v>
      </c>
      <c r="C3773" t="str">
        <f>IFERROR(__xludf.DUMMYFUNCTION("GOOGLETRANSLATE(B3773, ""fr"", ""en"")"),"Very soft, large, light and warm Use by my little in his dormitory where heating does not work, this coverage it is very useful, very soft, large, light and warm especially allows it to stay warm and covered . However made careful because the cover is con"&amp;"nected to electricity and one is never safe from a fire")</f>
        <v>Very soft, large, light and warm Use by my little in his dormitory where heating does not work, this coverage it is very useful, very soft, large, light and warm especially allows it to stay warm and covered . However made careful because the cover is connected to electricity and one is never safe from a fire</v>
      </c>
    </row>
    <row r="3774">
      <c r="A3774" s="1">
        <v>5.0</v>
      </c>
      <c r="B3774" s="1" t="s">
        <v>3738</v>
      </c>
      <c r="C3774" t="str">
        <f>IFERROR(__xludf.DUMMYFUNCTION("GOOGLETRANSLATE(B3774, ""fr"", ""en"")"),"Small very functional bag with multiple compartments. daily use as soon as it is to outside. I love its lightness while remaining solid.")</f>
        <v>Small very functional bag with multiple compartments. daily use as soon as it is to outside. I love its lightness while remaining solid.</v>
      </c>
    </row>
    <row r="3775">
      <c r="A3775" s="1">
        <v>5.0</v>
      </c>
      <c r="B3775" s="1" t="s">
        <v>3739</v>
      </c>
      <c r="C3775" t="str">
        <f>IFERROR(__xludf.DUMMYFUNCTION("GOOGLETRANSLATE(B3775, ""fr"", ""en"")"),"One of the great Sony beautiful packaging for this set in a beautiful box. Documentation, 6 sets of adapters for the ears in addition to those already present on the headphones, USB charging cable (usb-focus C). The case allows recharging the headphones 3"&amp;" times I have not been able to measure autonomy, but it seems to me very important suddenly. The application on Android for me is very comprehensive and provides good customization (adaptive noise reduction, equalizer .... Headphones can seem a bit bulky "&amp;"compared to the competition, but in fact they are very comfortable, lightweight and take very well. Listed ITS is simply excellent with a powerful equalizer that offers real profiles. noise reduction automatically adapts and seems efficient. in hot day, I"&amp;" was in front of the air conditioner rather noisy , with music and it has virtually disappeared from the surface (sound). it remains a small perception of ambient noise, but just right. Nothing to report next phone, it works perfectly with a good listener"&amp;". a good product.")</f>
        <v>One of the great Sony beautiful packaging for this set in a beautiful box. Documentation, 6 sets of adapters for the ears in addition to those already present on the headphones, USB charging cable (usb-focus C). The case allows recharging the headphones 3 times I have not been able to measure autonomy, but it seems to me very important suddenly. The application on Android for me is very comprehensive and provides good customization (adaptive noise reduction, equalizer .... Headphones can seem a bit bulky compared to the competition, but in fact they are very comfortable, lightweight and take very well. Listed ITS is simply excellent with a powerful equalizer that offers real profiles. noise reduction automatically adapts and seems efficient. in hot day, I was in front of the air conditioner rather noisy , with music and it has virtually disappeared from the surface (sound). it remains a small perception of ambient noise, but just right. Nothing to report next phone, it works perfectly with a good listener. a good product.</v>
      </c>
    </row>
    <row r="3776">
      <c r="A3776" s="1">
        <v>5.0</v>
      </c>
      <c r="B3776" s="1" t="s">
        <v>3740</v>
      </c>
      <c r="C3776" t="str">
        <f>IFERROR(__xludf.DUMMYFUNCTION("GOOGLETRANSLATE(B3776, ""fr"", ""en"")"),"Felt pretty Aesthetically The downside is spoon")</f>
        <v>Felt pretty Aesthetically The downside is spoon</v>
      </c>
    </row>
    <row r="3777">
      <c r="A3777" s="1">
        <v>5.0</v>
      </c>
      <c r="B3777" s="1" t="s">
        <v>3741</v>
      </c>
      <c r="C3777" t="str">
        <f>IFERROR(__xludf.DUMMYFUNCTION("GOOGLETRANSLATE(B3777, ""fr"", ""en"")"),"perfect perfect and quick matches demand")</f>
        <v>perfect perfect and quick matches demand</v>
      </c>
    </row>
    <row r="3778">
      <c r="A3778" s="1">
        <v>5.0</v>
      </c>
      <c r="B3778" s="1" t="s">
        <v>3742</v>
      </c>
      <c r="C3778" t="str">
        <f>IFERROR(__xludf.DUMMYFUNCTION("GOOGLETRANSLATE(B3778, ""fr"", ""en"")"),"Like in the movies ! &lt;Div id = ""video-block-R19DNT34TDTNFP"" class = ""a-section-spacing has-small-spacing-top video mini-block""&gt; &lt;div tabindex = ""0"" class = ""airy airy-svg vmin- unsupported airy-skin-beacon ""style ="" background-color: rgb (0, 0, 0"&amp;"); position: relative; width: 100%; height: 100%; font-size: 0px; overflow: hidden; outline: none ; ""&gt; &lt;div class ="" airy-renderer-container ""style ="" position: relative; height: 100%; width: 100%; ""&gt; &lt;video id ="" 23 ""preload ="" auto ""src ="" htt"&amp;"ps: //images-eu.ssl-images-amazon.com/images/I/A1ARJcf0xpS.mp4 ""style ="" position: absolute; left: 0px; top: 0px; overflow: hidden; height: 1px; width: 1px; "" &gt; &lt;/ video&gt; &lt;/ div&gt; &lt;div id = ""airy-slate-preload"" style = ""background-color: rgb (0, 0, 0"&amp;"); background-image: url (&amp; quot; https: // images- eu.ssl-images-amazon.com/images/I/A1VU76k9G2S.png&amp;quot;); background-size: contain; background-position: center center; background-repeat: no-repeat; position: absolute; top: 0px; left : 0px; visibility:"&amp;" visible; width: 100%; height: 100% ""&gt; &lt;/ div&gt; &lt;iframe scrolling ="" no ""framebord st = ""0"" src = ""about: blank"" style = ""display: none;""&gt; &lt;/ iframe&gt; &lt;div tabindex = ""- 1"" class = ""airy-controls-container"" style = ""opacity: 0; visibility: hid"&amp;"den; ""&gt; &lt;div tabindex ="" - 1 ""class ="" airy-screen-size-toggle airy-fullscreen ""&gt; &lt;/ div&gt; &lt;div tabindex ="" - 1 ""class ="" airy-container-bottom "" &gt; &lt;div tabindex = ""- 1"" class = ""airy-track-bar spacer-left"" style = ""width: 11px;""&gt; &lt;/ div&gt; &lt;d"&amp;"iv tabindex = ""- 1"" class = ""airy-play- toggle airy-play ""style ="" width: 12px; margin-right: 12px; ""&gt; &lt;/ div&gt; &lt;div tabindex ="" - 1 ""class ="" airy-audio-elements ""style ="" float: right; width: 34px; ""&gt; &lt;div tabindex ="" - 1 ""class ="" airy-au"&amp;"dio-toggle airy-on ""&gt; &lt;/ div&gt; &lt;div tabindex ="" - 1 ""class ="" airy-audio-container ""style = ""opacity: 0; visibility: hidden; ""&gt; &lt;div tabindex ="" - 1 ""class ="" airy-audio-track-bar ""style ="" height: 80%; ""&gt; &lt;div tabindex ="" - 1 ""class ="" air"&amp;"y-audio- scrubber bar ""style ="" height: 85% ""&gt; &lt;/ div&gt; &lt;div tabindex ="" - 1 ""class ="" airy-audio-scrubber ""style ="" height: 12px; bottom: 85% ""&gt; &lt;/ div&gt; &lt;/ div&gt; &lt;/ div&gt; &lt;/ div&gt; &lt;div tabindex ="" - 1 ""class ="" airy-duration-label ""style ="" flo"&amp;"at: right; width: 26px; margin-right: 4px; text-align: center; ""&gt; 0:00 &lt;/ div&gt; &lt;div tabindex ="" - 1 ""class ="" airy-track-bar spacer-right ""style ="" float: right; width: 11px; ""&gt; &lt;/ div&gt; &lt;div tabindex ="" - 1 ""class ="" airy-track-bar-container ""s"&amp;"tyle ="" margin-left: 35px; margin-right: 75px; ""&gt; &lt;div tabindex ="" - 1 ""class ="" airy-airy-track-bar vertical-centering-table ""&gt; &lt;div tabindex ="" - 1 ""class ="" airy-vertical-centering- table-cell ""&gt; &lt;div tabindex ="" - 1 ""class ="" airy-track-b"&amp;"ar elements ""&gt; &lt;div tabindex ="" - 1 ""class ="" airy-progress bar ""&gt; &lt;/ div&gt; &lt;div tabindex = ""- 1"" class = ""airy-scrubber bar""&gt; &lt;/ div&gt; &lt;div tabindex = ""- 1"" class = ""airy-scrubber""&gt; &lt;div tabindex = ""- 1"" class = ""airy-scrubber- icon ""&gt; &lt;/ "&amp;"div&gt; &lt;div tabindex ="" - 1 ""class ="" airy-adjusted-aui-tooltip ""style ="" opacity: 0; visibility: hidden; ""&gt; &lt;div tabindex ="" - 1 ""class ="" airy-adjusted-aui-tooltip-inner ""&gt; &lt;div tabindex ="" - 1 ""class ="" airy-current-time-label ""&gt; 0 00 &lt;/ di"&amp;"v&gt; &lt;/ div&gt; &lt;div tabindex = ""- 1"" class = ""airy-adjusted-aui-arrow-border""&gt; &lt;div tabindex = ""- 1"" class = ""airy-adjusted-aui-arrow"" &gt; &lt;/ div&gt; &lt;/ div&gt; &lt;/ div&gt; &lt;/ div&gt; &lt;/ div&gt; &lt;/ div&gt; &lt;/ div&gt; &lt;/ div&gt; &lt;/ div&gt; &lt;/ div&gt; &lt;div tabindex = ""- 1"" class = """&amp;"airy-airy-age-gate course airy-vertical-centering table-airy-dialog"" style = ""opacity: 0; visibility: hidden; ""&gt; &lt;div tabindex ="" - 1 ""class ="" airy-age-gate-vertical-centering-table-cell airy-vertical-centering-table-cell ""&gt; &lt;div tabindex ="" - 1 "&amp;"""class = ""airy-vertical-centering-wrapper airy-age-gate-elements-wrapper""&gt; &lt;div tabindex = ""- 1"" class = ""airy-age-gate-elements airy-dialog-elements""&gt; &lt;div tabindex = "" -1 ""class ="" airy-age-gate-prompt ""&gt; This video is not Intended for all au"&amp;"diences What time were you born &lt;/ div&gt; &lt;div tabindex =.?"" - 1 ""class ="" airy-age-gate -inputs airy-dialog-inner-elements ""&gt; &lt;select tabindex ="" - 1 ""class ="" airy-age-gate-month ""&gt; &lt;option value ="" 1 ""&gt; January &lt;/ option&gt; &lt;option value ="" 2 """&amp;"&gt; February &lt;/ option&gt; &lt;option value ="" 3 ""&gt; March &lt;/ option&gt; &lt;option value ="" 4 ""&gt; April &lt;/ option&gt; &lt;option value ="" 5 ""&gt; May &lt;/ option&gt; &lt;option value = ""6""&gt; June &lt;/ option&gt; &lt;option value = ""7""&gt; July &lt;/ option&gt; &lt;option value = ""8""&gt; August &lt;/ o"&amp;"ption&gt; &lt;option value = ""9""&gt; September &lt;/ option&gt; &lt;option value = ""10""&gt; October &lt;/ option&gt; &lt;option value = ""11""&gt; November &lt;/ option&gt; &lt;option value = ""12""&gt; December &lt;/ option&gt; &lt;/ select&gt; &lt;select tabindex = ""- 1"" class = ""airy-age-gate-day""&gt; &lt;opt"&amp;"i = One value ""1""&gt; 1 &lt;/ option&gt; &lt;option value = ""2""&gt; 2 &lt;/ option&gt; &lt;option value = ""3""&gt; 3 &lt;/ option&gt; &lt;option value = ""4""&gt; 4 &lt;/ option &gt; &lt;option value = ""5""&gt; 5 &lt;/ option&gt; &lt;option value = ""6""&gt; 6 &lt;/ option&gt; &lt;option value = ""7""&gt; 7 &lt;/ option&gt; &lt;opt"&amp;"ion value = ""8""&gt; 8 &lt; / option&gt; &lt;option value = ""9""&gt; 9 &lt;/ option&gt; &lt;option value = ""10""&gt; 10 &lt;/ option&gt; &lt;option value = ""11""&gt; 11 &lt;/ option&gt; &lt;option value = ""12""&gt; 12 &lt;/ option&gt; &lt;option value = ""13""&gt; 13 &lt;/ option&gt; &lt;option value = ""14""&gt; 14 &lt;/ opti"&amp;"on&gt; &lt;option value = ""15""&gt; 15 &lt;/ option&gt; &lt;option value = ""16 ""&gt; 16 &lt;/ option&gt; &lt;option value ="" 17 ""&gt; 17 &lt;/ option&gt; &lt;option value ="" 18 ""&gt; 18 &lt;/ option&gt; &lt;option value ="" 19 ""&gt; 19 &lt;/ option&gt; &lt;option value = ""20""&gt; 20 &lt;/ option&gt; &lt;option value = ""2"&amp;"1""&gt; 21 &lt;/ option&gt; &lt;option value = ""22""&gt; 22 &lt;/ option&gt; &lt;option value = ""23""&gt; 23 &lt;/ option&gt; &lt;option value = ""24""&gt; 24 &lt;/ option&gt; &lt;option value = ""25""&gt; 25 &lt;/ option&gt; &lt;option value = ""26""&gt; 26 &lt;/ option&gt; &lt;option value = ""27""&gt; 27 &lt;/ option&gt; &lt;option "&amp;"value = ""28""&gt; 28 &lt;/ option&gt; &lt;option value = ""29""&gt; 29 &lt;/ option&gt; &lt;option value = ""30""&gt; 30 &lt;/ option&gt; &lt;option value = ""31""&gt; 31 &lt;/ option&gt; &lt;/ select&gt; &lt;select tabindex = ""- 1"" class = ""airy-age-gate-year""&gt; &lt;option value = ""2019""&gt; 2019 &lt;/ option&gt;"&amp;" &lt; option value = ""2018""&gt; 2018 &lt;/ option&gt; &lt;option value = ""2017""&gt; 2017 &lt;/ option&gt; &lt;option value = ""2016""&gt; ​​2016 &lt;/ option&gt; &lt;option value = ""2015""&gt; 2015 &lt;/ option &gt; &lt;option value = ""2014""&gt; 2014 &lt;/ option&gt; &lt;option value = ""2013""&gt; 2013 &lt;/ option"&amp;"&gt; &lt;option value = ""2012""&gt; 2012 &lt;/ option&gt; &lt;option value = ""2011""&gt; 2011 &lt; / option&gt; &lt;option value = ""2010""&gt; 2010 &lt;/ option&gt; &lt;option value = ""2009""&gt; 2009 &lt;/ option&gt; &lt;option value = ""2008""&gt; 2008 &lt;/ option&gt; &lt;option value = ""2007""&gt; 2007 &lt;/ option&gt; "&amp;"&lt;option value = ""2006""&gt; 2006 &lt;/ option&gt; &lt;option value = ""2005""&gt; 2005 &lt;/ option&gt; &lt;option value = ""2004""&gt; 2004 &lt;/ option&gt; &lt;option value = ""2003 ""&gt; 2003 &lt;/ option&gt; &lt;option value ="" 2002 ""&gt; 2002 &lt;/ option&gt; &lt;option value ="" 2001 ""&gt; 2001 &lt;/ option&gt; "&amp;"&lt;option value ="" 2000 ""&gt; 2000 &lt;/ option&gt; &lt;option value = ""1999""&gt; 1999 &lt;/ option&gt; &lt;option value = ""1998""&gt; 1998 &lt;/ option&gt; &lt;option value = ""1997""&gt; 1997 &lt;/ option&gt; &lt;option value = ""1996""&gt; 1996 &lt;/ option&gt; &lt;option value = ""1995""&gt; 1995 &lt;/ option&gt; &lt;o"&amp;"ption value = ""1994""&gt; 1994 &lt;/ option&gt; &lt;option value = ""1993""&gt; 1993 &lt;/ option&gt; &lt;option value = ""1992""&gt; 1992 &lt;/ option&gt; &lt;option value = ""1991""&gt; 1991 &lt;/ option&gt; &lt;option value = ""1990""&gt; 1990 &lt;/ option&gt; &lt;option value = "" 1989 ""&gt; 1989 &lt;/ option&gt; &lt;op"&amp;"tion value ="" 1988 ""&gt; 1988 &lt;/ option&gt; &lt;option value ="" 1987 ""&gt; 1987 &lt;/ option&gt; &lt;option value ="" 1986 ""&gt; 1986 &lt;/ option&gt; &lt;option value = ""1985""&gt; 1985 &lt;/ option&gt; &lt;option value = ""1984""&gt; 1984 &lt;/ option&gt; &lt;option value = ""1983""&gt; 1983 &lt;/ option&gt; &lt;op"&amp;"tion value = ""1982""&gt; 1982 &lt;/ option&gt; &lt; option value = ""1981""&gt; 1981 &lt;/ option&gt; &lt;option value = ""1980""&gt; 1980 &lt;/ option&gt; &lt;option value = ""1979""&gt; 1979 &lt;/ option&gt; &lt;option value = ""1978""&gt; 1978 &lt;/ option &gt; &lt;option value = ""1977""&gt; 1977 &lt;/ option&gt; &lt;opt"&amp;"ion value = ""1976""&gt; 1976 &lt;/ option&gt; &lt;option value = ""1975""&gt; 1975 &lt;/ option&gt; &lt;option value = ""1974""&gt; 1974 &lt; / option&gt; &lt;option value = ""1973""&gt; 1973 &lt;/ option&gt; &lt;option value = ""1972""&gt; 1972 &lt;/ option&gt; &lt;option value = ""1971""&gt; 1971 &lt;/ option&gt; &lt;optio"&amp;"n value = ""1970""&gt; 1970 &lt;/ option&gt; &lt;option value = ""1969""&gt; 1969 &lt;/ option&gt; &lt;option value = ""1968""&gt; 1968 &lt;/ option&gt; &lt;option value = ""1967""&gt; 1967 &lt;/ option&gt; &lt;option value = ""1966 ""&gt; 1966 &lt;/ option&gt; &lt;option value ="" 1965 ""&gt; 1965 &lt;/ option&gt; &lt;option"&amp;" value ="" 1964 ""&gt; 1964 &lt;/ option&gt; &lt;option value ="" 1963 ""&gt; 1963 &lt;/ option&gt; &lt;option value = ""1962""&gt; 1962 &lt;/ option&gt; &lt;option value = ""1961""&gt; 1961 &lt;/ option&gt; &lt;option value = ""1960""&gt; 1960 &lt;/ op tion&gt; &lt;option value = ""1959""&gt; 1959 &lt;/ option&gt; &lt;option"&amp;" value = ""1958""&gt; 1958 &lt;/ option&gt; &lt;option value = ""1957""&gt; 1957 &lt;/ option&gt; &lt;option value = ""1956""&gt; 1956 &lt;/ option&gt; &lt;option value = ""1955""&gt; 1955 &lt;/ option&gt; &lt;option value = ""1954""&gt; 1954 &lt;/ option&gt; &lt;option value = ""1953""&gt; 1953 &lt;/ option&gt; &lt;option va"&amp;"lue = ""1952"" &gt; 1952 &lt;/ option&gt; &lt;option value = ""1951""&gt; 1951 &lt;/ option&gt; &lt;option value = ""1950""&gt; 1950 &lt;/ option&gt; &lt;option value = ""1949""&gt; 1949 &lt;/ option&gt; &lt;option value = "" 1948 ""&gt; 1948 &lt;/ option&gt; &lt;option value ="" 1947 ""&gt; 1947 &lt;/ option&gt; &lt;option v"&amp;"alue ="" 1946 ""&gt; 1946 &lt;/ option&gt; &lt;option value ="" 1945 ""&gt; 1945 &lt;/ option&gt; &lt;option value = ""1944""&gt; 1944 &lt;/ option&gt; &lt;option value = ""1943""&gt; 1943 &lt;/ option&gt; &lt;option value = ""1942""&gt; 1942 &lt;/ option&gt; &lt;option value = ""1941""&gt; 1941 &lt;/ option&gt; &lt; option v"&amp;"alue = ""1940""&gt; 1940 &lt;/ option&gt; &lt;option value = ""1939""&gt; 1939 &lt;/ option&gt; &lt;option value = ""1938""&gt; 1938 &lt;/ option&gt; &lt;option value = ""1937""&gt; 1937 &lt;/ option &gt; &lt;option value = ""1936""&gt; 1936 &lt;/ option&gt; &lt;option value = ""1935""&gt; 1935 &lt;/ option&gt; &lt;option val"&amp;"ue = ""1934""&gt; 1934 &lt;/ option&gt; &lt;option value = ""1933""&gt; 1933 &lt; / option&gt; &lt;option value = ""1932""&gt; 1932 &lt;/ option&gt; &lt;option value = ""1931""&gt; 1931 &lt;/ option&gt; &lt;option v alue = ""1930""&gt; 1930 &lt;/ option&gt; &lt;option value = ""1929""&gt; 1929 &lt;/ option&gt; &lt;option valu"&amp;"e = ""1928""&gt; 1928 &lt;/ option&gt; &lt;option value = ""1927""&gt; 1927 &lt;/ option&gt; &lt;option value = ""1926""&gt; 1926 &lt;/ option&gt; &lt;option value = ""1925""&gt; 1925 &lt;/ option&gt; &lt;option value = ""1924""&gt; 1924 &lt;/ option&gt; &lt;option value = ""1923""&gt; 1923 &lt;/ option&gt; &lt;option value ="&amp;" ""1922""&gt; 1922 &lt;/ option&gt; &lt;option value = ""1921""&gt; 1921 &lt;/ option&gt; &lt;option value = ""1920""&gt; 1920 &lt;/ option&gt; &lt;option value = ""1919""&gt; 1919 &lt;/ option&gt; &lt;option value = ""1918""&gt; 1918 &lt;/ option&gt; &lt;option value = ""1917""&gt; 1917 &lt;/ option&gt; &lt;option value = """&amp;"1916""&gt; 1916 &lt;/ option&gt; &lt;option value = ""1915"" &gt; 1915 &lt;/ option&gt; &lt;option value = ""1914""&gt; 1914 &lt;/ option&gt; &lt;option value = ""1913""&gt; 1913 &lt;/ option&gt; &lt;option value = ""1912""&gt; 1912 &lt;/ option&gt; &lt;option value = "" 1911 ""&gt; 1911 &lt;/ option&gt; &lt;option value ="" "&amp;"1910 ""&gt; 1910 &lt;/ option&gt; &lt;option value ="" 1909 ""&gt; 1909 &lt;/ option&gt; &lt;option value ="" 1908 ""&gt; 1908 &lt;/ option&gt; &lt;option value = ""1907""&gt; 1907 &lt;/ option&gt; &lt;option value = ""1906""&gt; 1906 &lt;/ option&gt; &lt;option value = ""1905""&gt; 1905 &lt;/ option&gt; &lt;option value = """&amp;"1904""&gt; 1904 &lt;/ option&gt; &lt; option value = ""1903""&gt; 1903 &lt;/ option&gt; &lt;option value = ""1902""&gt; 1902 &lt;/ option&gt; &lt;option value = ""1901""&gt; 19 01 &lt;/ option&gt; &lt;option value = ""1900""&gt; 1900 &lt;/ option&gt; &lt;/ select&gt; &lt;div tabindex = ""- 1"" class = ""airy-age-gate-su"&amp;"bmit airy-submit-button airy airy-submit- disabled ""&gt; Submit &lt;/ div&gt; &lt;/ div&gt; &lt;/ div&gt; &lt;/ div&gt; &lt;/ div&gt; &lt;/ div&gt; &lt;div tabindex ="" - 1 ""class ="" airy-install-flash-dialog airy-course airy -Vertical-centering-table dialog airy-airy-denied ""style ="" opacit"&amp;"y: 0; visibility: hidden; ""&gt; &lt;div tabindex ="" - 1 ""class ="" airy-install-flash-vertical-centering-table-cell airy-vertical-centering-table-cell ""&gt; &lt;div tabindex ="" - 1 ""class = ""airy-vertical-centering-wrapper airy-install-flash-elements-wrapper"""&amp;"&gt; &lt;div tabindex = ""- 1"" class = ""airy-install-flash-elements airy-dialog-elements""&gt; &lt;div tabindex = "" -1 ""class ="" airy-install-flash-prompt ""&gt; Adobe Flash Player is required to watch this video &lt;/ div&gt; &lt;div = tabindex."" - 1 ""class ="" airy-inst"&amp;"all-flash-button-wrapper airy -dialog-inner-elements ""&gt; &lt;div tabindex ="" - 1 ""class ="" airy-install-flash-button airy-button ""&gt; install Flash Player &lt;/ div&gt; &lt;/ div&gt; &lt;/ div&gt; &lt;/ div&gt; &lt;/ div&gt; &lt;/ div&gt; &lt;div tabindex = ""- 1"" class = ""airy-video-unsuppor"&amp;"ted-dialog airy-course airy-vertical-centering table-airy-dialog airy-denied"" style = ""opacity: 0; visibility: hidden; ""&gt; &lt;div tabindex ="" - 1 ""class ="" airy-video-unsupported-vertical-centering-table-cell airy-vertical-centering-table-cell ""&gt; &lt;div"&amp;" tabindex ="" - 1 ""class = ""airy-vertical-centering-wrapper airy-video-unsupported-elements-wrapper""&gt; &lt;div tabindex = ""- 1"" class = ""airy-video-unsupported-elements airy-dialog-elements""&gt; &lt;div tabindex = "" -1 ""class ="" airy-video-unsupported-pro"&amp;"mpt ""&gt; &lt;/ div&gt; &lt;/ div&gt; &lt;/ div&gt; &lt;/ div&gt; &lt;/ div&gt; &lt;div tabindex ="" - 1 ""class ="" airy-loading- spinner-stage airy-stage ""&gt; &lt;div tabindex ="" - 1 ""class ="" airy-loading-spinner-vertical-centering-table-cell airy-vertical-centering-table-cell ""&gt; &lt;div t"&amp;"abindex ="" - 1 ""class ="" airy-loading-spinner container airy-scalable-hint-container ""&gt; &lt;div tabindex ="" - 1 ""class ="" airy-loading-spinner-dummy airy-scalable-dummy ""&gt; &lt;/ div&gt; &lt; div tabindex = ""- 1"" class = ""airy-loading-spinner airy-hint"" st"&amp;"yle = ""visibility: hidden;""&gt; &lt;/ div&gt; &lt;/ div&gt; &lt;/ div&gt; &lt;/ div&gt; &lt;div tabindex = ""- 1 ""class ="" airy-ads-screen-size-toggle airy-screen-size-toggle airy-fullscreen ""style ="" visibility: hidden; ""&gt; &lt;/ div&gt; &lt;div tabindex = ""-1"" class = ""airy-ad-promp"&amp;"t-container"" style = ""visibility: hidden;""&gt; &lt;div tabindex = ""- 1"" class = ""airy-ad-prompt-vertical-centering table-airy-vertical- centering-table ""&gt; &lt;div tabindex ="" - 1 ""class ="" airy-ad-prompt-vertical-centering-table-cell airy-vertical-center"&amp;"ing-table-cell ""&gt; &lt;div tabindex ="" - 1 ""class = ""airy-ad-prompt-label""&gt; &lt;/ div&gt; &lt;/ div&gt; &lt;/ div&gt; &lt;/ div&gt; &lt;div tabindex = ""- 1"" class = ""airy-ads-controls-container"" style = ""visibility: hidden; ""&gt; &lt;div tabindex ="" - 1 ""class ="" airy-ads-audio"&amp;"-toggle airy-audio-toggle airy-on ""style ="" visibility: hidden; ""&gt; &lt;/ div&gt; &lt;div tabindex ="" - 1 ""class ="" airy-time-remaining-label-container ""&gt; &lt;div tabindex ="" - 1 ""class ="" airy-time-remaining-vertical-centering table-airy-vertical-centering-"&amp;"table ""&gt; &lt;div tabindex = ""- 1"" class = ""airy-time-remaining-vertical-centering-table-cell airy-vertical-centering-table-cell""&gt; &lt;div tabindex = ""- 1"" class = ""airy-vertical-centering-wrapper airy-time-remaining-label-wrapper ""&gt; &lt;div tabindex ="" -"&amp;" 1 ""class ="" airy-time-remaining-label ""style ="" visibility: hidden; ""&gt; &lt;/ div&gt; &lt;div tabi ndex = ""- 1"" class = ""airy-ad-skip"" style = ""visibility: hidden;""&gt; &lt;/ div&gt; &lt;div tabindex = ""- 1"" class = ""airy-ad-end"" style = ""visibility: hidden; "&amp;"""&gt; &lt;/ div&gt; &lt;/ div&gt; &lt;/ div&gt; &lt;/ div&gt; &lt;/ div&gt; &lt;div tabindex ="" - 1 ""class ="" airy-learn-more ""style ="" visibility: hidden; ""&gt; &lt;/ div&gt; &lt;/ div&gt; &lt;div tabindex = ""- 1"" class = ""airy-play-toggle-hint-stage airy-course airy-cursor""&gt; &lt;div tabindex = ""- "&amp;"1"" class = ""airy-play -toggle-hint-vertical-centering-table-cell airy-vertical-centering-table-cell airy-cursor ""&gt; &lt;div tabindex ="" - 1 ""class ="" airy-play-toggle-hint-container airy-scalable- hint-container ""&gt; &lt;div tabindex ="" - 1 ""class ="" air"&amp;"y-play-toggle-hint-dummy airy-scalable-dummy ""&gt; &lt;/ div&gt; &lt;div tabindex ="" - 1 ""class ="" airy-play -toggle airy-hint-hint-hint airy-play ""style ="" opacity: 1; visibility: visible; ""&gt; &lt;/ div&gt; &lt;/ div&gt; &lt;/ div&gt; &lt;/ div&gt; &lt;div tabindex ="" - 1 ""class ="" a"&amp;"iry-replay-hint-stage airy-stage ""style ="" visibility: hidden ; ""&gt; &lt;div tabindex ="" - 1 ""class ="" airy-replay-hint-vertical-centering-table-cell airy-vertical-centering-table-cell airy-cursor ""&gt; &lt;div tabindex ="" - 1 ""class = ""airy-replay-hint-co"&amp;"ntainer airy-scalable-hint-container""&gt; &lt;div tabindex = ""- 1"" class = ""airy-replay-hint-dummy airy-scalable-dummy""&gt; &lt;/ div&gt; &lt;div tabindex = ""- 1"" class = ""airy-replay-hint airy-hint""&gt; &lt;/ div&gt; &lt;/ div&gt; &lt;/ div&gt; &lt;/ div&gt; &lt;div tabindex = ""- 1"" class ="&amp;" ""airy-autoplay-hint -stage airy-stage ""style ="" visibility: hidden; ""&gt; &lt;div tabindex ="" - 1 ""class ="" airy-autoplay-hint-vertical-centering-table-cell airy-vertical-centering-table-cell airy- cursor ""&gt; &lt;div tabindex ="" - 1 ""class ="" autoplay a"&amp;"iry-airy-hint-container-scalable-hint-container ""&gt; &lt;div tabindex ="" - 1 ""class ="" airy-autoplay-hint-dummy airy- scalable-dummy ""&gt; &lt;/ div&gt; &lt;/ div&gt; &lt;/ div&gt; &lt;/ div&gt; &lt;/ div&gt; &lt;/ div&gt; &lt;input type ="" hidden ""name ="" ""value ="" https: // pictures-eu .ss"&amp;"l-image amazon.com / images / I / A1ARJcf0xpS.mp4 ""Class ="" video-url ""&gt; &lt;input type ="" hidden ""name ="" ""value ="" https://images-eu.ssl-images-amazon.com/images/I/A1VU76k9G2S.png ""class ="" video-slate-img-url ""&gt; &amp; nbsp; I bought this projector "&amp;"for projecting movies on the wall of my living room and the record is impressive, my only regret is not to have bought before. The projector is a compact size, so you can easily store in a TV cabinet, for use, you can put it on a small piece of furniture "&amp;"but there is also a hole on the underside of expected to fix on a level I think photograph device. The remote control allows perfect menu navigation and on the home screen, you have the opportunity to look at pictures, movies, videos ... To render flawles"&amp;"s, you need a clear any plain white wall or buy a screen adapted. Operation is simple, one branch an external hard disk drive or a USB stick in the device and in the home screen, we see the device, we go inside, selecting and reading the film is placed, c"&amp;"an see also photos or videos from a DVD player, a camera or camcorder that plugs into AV or PC that connects to VGA. The image rendering is good, the sound is okay, for my part, I plugged an external mini speaker on the headphones for better sound like in"&amp;" the cinema and there, we really believe it!")</f>
        <v>Like in the movies ! &lt;Div id = "video-block-R19DNT34TDTNFP" class = "a-section-spacing has-small-spacing-top video mini-block"&gt; &lt;div tabindex = "0" class = "airy airy-svg vmin- unsupported airy-skin-beacon "style =" background-color: rgb (0, 0, 0); position: relative; width: 100%; height: 100%; font-size: 0px; overflow: hidden; outline: none ; "&gt; &lt;div class =" airy-renderer-container "style =" position: relative; height: 100%; width: 100%; "&gt; &lt;video id =" 23 "preload =" auto "src =" https: //images-eu.ssl-images-amazon.com/images/I/A1ARJcf0xpS.mp4 "style =" position: absolute; left: 0px; top: 0px; overflow: hidden; height: 1px; width: 1px; " &gt; &lt;/ video&gt; &lt;/ div&gt; &lt;div id = "airy-slate-preload" style = "background-color: rgb (0, 0, 0); background-image: url (&amp; quot; https: // images- eu.ssl-images-amazon.com/images/I/A1VU76k9G2S.png&amp;quot;); background-size: contain; background-position: center center; background-repeat: no-repeat; position: absolute; top: 0px; left : 0px; visibility: visible; width: 100%; height: 100% "&gt; &lt;/ div&gt; &lt;iframe scrolling =" no "framebord st = "0" src = "about: blank" style = "display: none;"&gt; &lt;/ iframe&gt; &lt;div tabindex = "- 1" class = "airy-controls-container" style = "opacity: 0; visibility: hidden; "&gt; &lt;div tabindex =" - 1 "class =" airy-screen-size-toggle airy-fullscreen "&gt; &lt;/ div&gt; &lt;div tabindex =" - 1 "class =" airy-container-bottom " &gt; &lt;div tabindex = "- 1" class = "airy-track-bar spacer-left" style = "width: 11px;"&gt; &lt;/ div&gt; &lt;div tabindex = "- 1" class = "airy-play- toggle airy-play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 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 spacer-right "style =" float: right; width: 11px; "&gt; &lt;/ div&gt; &lt;div tabindex =" - 1 "class =" airy-track-bar-container "style =" margin-left: 35px; margin-right: 75px; "&gt; &lt;div tabindex =" - 1 "class =" airy-airy-track-bar vertical-centering-table "&gt; &lt;div tabindex =" - 1 "class =" airy-vertical-centering- table-cell "&gt; &lt;div tabindex =" - 1 "class =" airy-track-bar elements "&gt; &lt;div tabindex =" - 1 "class =" airy-progress bar "&gt; &lt;/ div&gt; &lt;div tabindex = "- 1" class = "airy-scrubber 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"airy-airy-age-gate course airy-vertical-centering table-airy-dialog"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time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 One value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&lt;option value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&lt;option value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&lt;option value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airy-course airy -Vertical-centering-table dialog airy-airy-denied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 tabindex." - 1 "class =" airy-install-flash-button-wrapper airy -dialog-inner-elements "&gt; &lt;div tabindex =" - 1 "class =" airy-install-flash-button airy-button "&gt; install Flash Player &lt;/ div&gt; &lt;/ div&gt; &lt;/ div&gt; &lt;/ div&gt; &lt;/ div&gt; &lt;/ div&gt; &lt;div tabindex = "- 1" class = "airy-video-unsupported-dialog airy-course airy-vertical-centering table-airy-dialog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 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 airy-fullscreen "style =" visibility: hidden; "&gt; &lt;/ div&gt; &lt;div tabindex = "-1" class = "airy-ad-prompt-container" style = "visibility: hidden;"&gt; &lt;div tabindex = "- 1" class = "airy-ad-prompt-vertical-centering table-airy-vertical-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 table-airy-vertical-centering-table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airy-course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 airy-hint-hint-hint airy-play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pictures-eu .ssl-image amazon.com / images / I / A1ARJcf0xpS.mp4 "Class =" video-url "&gt; &lt;input type =" hidden "name =" "value =" https://images-eu.ssl-images-amazon.com/images/I/A1VU76k9G2S.png "class =" video-slate-img-url "&gt; &amp; nbsp; I bought this projector for projecting movies on the wall of my living room and the record is impressive, my only regret is not to have bought before. The projector is a compact size, so you can easily store in a TV cabinet, for use, you can put it on a small piece of furniture but there is also a hole on the underside of expected to fix on a level I think photograph device. The remote control allows perfect menu navigation and on the home screen, you have the opportunity to look at pictures, movies, videos ... To render flawless, you need a clear any plain white wall or buy a screen adapted. Operation is simple, one branch an external hard disk drive or a USB stick in the device and in the home screen, we see the device, we go inside, selecting and reading the film is placed, can see also photos or videos from a DVD player, a camera or camcorder that plugs into AV or PC that connects to VGA. The image rendering is good, the sound is okay, for my part, I plugged an external mini speaker on the headphones for better sound like in the cinema and there, we really believe it!</v>
      </c>
    </row>
    <row r="3779">
      <c r="A3779" s="1">
        <v>5.0</v>
      </c>
      <c r="B3779" s="1" t="s">
        <v>3743</v>
      </c>
      <c r="C3779" t="str">
        <f>IFERROR(__xludf.DUMMYFUNCTION("GOOGLETRANSLATE(B3779, ""fr"", ""en"")"),"Perfect ! The product corresponds to our expectations and we are very satisfied. It is effective and of high quality.")</f>
        <v>Perfect ! The product corresponds to our expectations and we are very satisfied. It is effective and of high quality.</v>
      </c>
    </row>
    <row r="3780">
      <c r="A3780" s="1">
        <v>5.0</v>
      </c>
      <c r="B3780" s="1" t="s">
        <v>3744</v>
      </c>
      <c r="C3780" t="str">
        <f>IFERROR(__xludf.DUMMYFUNCTION("GOOGLETRANSLATE(B3780, ""fr"", ""en"")"),"kdo ç'était to offer to my beautiful daughter she loved very super beautiful shoe no complaints")</f>
        <v>kdo ç'était to offer to my beautiful daughter she loved very super beautiful shoe no complaints</v>
      </c>
    </row>
    <row r="3781">
      <c r="A3781" s="1">
        <v>5.0</v>
      </c>
      <c r="B3781" s="1" t="s">
        <v>3745</v>
      </c>
      <c r="C3781" t="str">
        <f>IFERROR(__xludf.DUMMYFUNCTION("GOOGLETRANSLATE(B3781, ""fr"", ""en"")"),"Very well. Very well. To have the start.")</f>
        <v>Very well. Very well. To have the start.</v>
      </c>
    </row>
    <row r="3782">
      <c r="A3782" s="1">
        <v>5.0</v>
      </c>
      <c r="B3782" s="1" t="s">
        <v>3746</v>
      </c>
      <c r="C3782" t="str">
        <f>IFERROR(__xludf.DUMMYFUNCTION("GOOGLETRANSLATE(B3782, ""fr"", ""en"")"),"Brought my daughter loves my daughter 5 years. Getting started is a little long, but soon she set up the stencil itself and even made some very nice drawings. The sequin activity that goes with demand a little help but makes drawing lovely.")</f>
        <v>Brought my daughter loves my daughter 5 years. Getting started is a little long, but soon she set up the stencil itself and even made some very nice drawings. The sequin activity that goes with demand a little help but makes drawing lovely.</v>
      </c>
    </row>
    <row r="3783">
      <c r="A3783" s="1">
        <v>5.0</v>
      </c>
      <c r="B3783" s="1" t="s">
        <v>3747</v>
      </c>
      <c r="C3783" t="str">
        <f>IFERROR(__xludf.DUMMYFUNCTION("GOOGLETRANSLATE(B3783, ""fr"", ""en"")"),"Perfect practice shoes for walking on pebbles or stones at the bottom. Very pretty and size suitable as planned.")</f>
        <v>Perfect practice shoes for walking on pebbles or stones at the bottom. Very pretty and size suitable as planned.</v>
      </c>
    </row>
    <row r="3784">
      <c r="A3784" s="1">
        <v>5.0</v>
      </c>
      <c r="B3784" s="1" t="s">
        <v>3748</v>
      </c>
      <c r="C3784" t="str">
        <f>IFERROR(__xludf.DUMMYFUNCTION("GOOGLETRANSLATE(B3784, ""fr"", ""en"")"),"very very warm, very comfortable to wear, provide size above; I bought two of the blow, too small that I gave my fault and more for me")</f>
        <v>very very warm, very comfortable to wear, provide size above; I bought two of the blow, too small that I gave my fault and more for me</v>
      </c>
    </row>
    <row r="3785">
      <c r="A3785" s="1">
        <v>5.0</v>
      </c>
      <c r="B3785" s="1" t="s">
        <v>3749</v>
      </c>
      <c r="C3785" t="str">
        <f>IFERROR(__xludf.DUMMYFUNCTION("GOOGLETRANSLATE(B3785, ""fr"", ""en"")"),"Perfect I use every morning for my tea without disturbing the family")</f>
        <v>Perfect I use every morning for my tea without disturbing the family</v>
      </c>
    </row>
    <row r="3786">
      <c r="A3786" s="1">
        <v>2.0</v>
      </c>
      <c r="B3786" s="1" t="s">
        <v>3750</v>
      </c>
      <c r="C3786" t="str">
        <f>IFERROR(__xludf.DUMMYFUNCTION("GOOGLETRANSLATE(B3786, ""fr"", ""en"")"),"The picture does not give the size of an ear, damage Too Small")</f>
        <v>The picture does not give the size of an ear, damage Too Small</v>
      </c>
    </row>
    <row r="3787">
      <c r="A3787" s="1">
        <v>1.0</v>
      </c>
      <c r="B3787" s="1" t="s">
        <v>3751</v>
      </c>
      <c r="C3787" t="str">
        <f>IFERROR(__xludf.DUMMYFUNCTION("GOOGLETRANSLATE(B3787, ""fr"", ""en"")"),"Time and pedometer Hello Following the schedule change late October impossible to watch to the time What do I do thank you")</f>
        <v>Time and pedometer Hello Following the schedule change late October impossible to watch to the time What do I do thank you</v>
      </c>
    </row>
    <row r="3788">
      <c r="A3788" s="1">
        <v>1.0</v>
      </c>
      <c r="B3788" s="1" t="s">
        <v>3752</v>
      </c>
      <c r="C3788" t="str">
        <f>IFERROR(__xludf.DUMMYFUNCTION("GOOGLETRANSLATE(B3788, ""fr"", ""en"")"),"Become all black zero it is important not bought that kind of junk jewelry. This pendant is really fake it worthless it become all black after a few days does not zero bought this jewelry junk I do not recommend.")</f>
        <v>Become all black zero it is important not bought that kind of junk jewelry. This pendant is really fake it worthless it become all black after a few days does not zero bought this jewelry junk I do not recommend.</v>
      </c>
    </row>
    <row r="3789">
      <c r="A3789" s="1">
        <v>3.0</v>
      </c>
      <c r="B3789" s="1" t="s">
        <v>3753</v>
      </c>
      <c r="C3789" t="str">
        <f>IFERROR(__xludf.DUMMYFUNCTION("GOOGLETRANSLATE(B3789, ""fr"", ""en"")"),"Way. Micro low. Its ok very small Micro. Callers hear nothing.")</f>
        <v>Way. Micro low. Its ok very small Micro. Callers hear nothing.</v>
      </c>
    </row>
    <row r="3790">
      <c r="A3790" s="1">
        <v>4.0</v>
      </c>
      <c r="B3790" s="1" t="s">
        <v>3754</v>
      </c>
      <c r="C3790" t="str">
        <f>IFERROR(__xludf.DUMMYFUNCTION("GOOGLETRANSLATE(B3790, ""fr"", ""en"")"),"Beyerdynamic DT 770 headphones I bought 4 on AMAZON and I take this request for advice to give my comparison (on the seriousness of my sales favorite online, nothing to say, perfect). I tested four helmets on two MP3 players, the headphone amp to a mixer "&amp;"(home studio) and a digital piano. Start with the AKG K240MKII (55 ohms) and AKG K702. From the perspective of ""audio"", they are almost equivalent with a small superiority to the K702 model (a little more bass frequencies). The spatial average is the la"&amp;"ck of low frequencies gives an unbalanced sound tiring but not provided. Both require helmets to have a big head, or they take badly (no adjustments) and they have a detachable cable. So I use the 240 to hear the sound of my tablet at night to avoid distu"&amp;"rbing and 702 on my mixer when I did not want to be ""out of touch"" since it is an open helmet. The third is the beyerdynamic DT770 headphones pro (80 ohm). A good compromise sound reproduction perspective. More low frequencies as AKG, not at all tiring,"&amp;" it holds well on the head and is very comfortable to wear (adjustable). Its default, no detachable cable. I use it on my mixer (more willingly than the AKG K702). Finally, the Audio-Technica ATH-M50X. The sound better, the range is wide, low frequencies "&amp;"well present for headphones and spatial rather good. The comfort is very good (adjustable) although I prefer the velvet and the lack of joints (disturbing when the helmet is handled) the other three. The cable is removable. I use this helmet on my piano K"&amp;"awai hdg relatively demanding the piano since I mainly played on a Yamaha C3X. On my mixer, and so with synth sounds, I find it tiring helmet, too extroverted for this use over time. The ATH-M50X is recommended for listening to music on MP3 player or head"&amp;"phone amp. After listening began, difficult to remove.")</f>
        <v>Beyerdynamic DT 770 headphones I bought 4 on AMAZON and I take this request for advice to give my comparison (on the seriousness of my sales favorite online, nothing to say, perfect). I tested four helmets on two MP3 players, the headphone amp to a mixer (home studio) and a digital piano. Start with the AKG K240MKII (55 ohms) and AKG K702. From the perspective of "audio", they are almost equivalent with a small superiority to the K702 model (a little more bass frequencies). The spatial average is the lack of low frequencies gives an unbalanced sound tiring but not provided. Both require helmets to have a big head, or they take badly (no adjustments) and they have a detachable cable. So I use the 240 to hear the sound of my tablet at night to avoid disturbing and 702 on my mixer when I did not want to be "out of touch" since it is an open helmet. The third is the beyerdynamic DT770 headphones pro (80 ohm). A good compromise sound reproduction perspective. More low frequencies as AKG, not at all tiring, it holds well on the head and is very comfortable to wear (adjustable). Its default, no detachable cable. I use it on my mixer (more willingly than the AKG K702). Finally, the Audio-Technica ATH-M50X. The sound better, the range is wide, low frequencies well present for headphones and spatial rather good. The comfort is very good (adjustable) although I prefer the velvet and the lack of joints (disturbing when the helmet is handled) the other three. The cable is removable. I use this helmet on my piano Kawai hdg relatively demanding the piano since I mainly played on a Yamaha C3X. On my mixer, and so with synth sounds, I find it tiring helmet, too extroverted for this use over time. The ATH-M50X is recommended for listening to music on MP3 player or headphone amp. After listening began, difficult to remove.</v>
      </c>
    </row>
    <row r="3791">
      <c r="A3791" s="1">
        <v>4.0</v>
      </c>
      <c r="B3791" s="1" t="s">
        <v>3755</v>
      </c>
      <c r="C3791" t="str">
        <f>IFERROR(__xludf.DUMMYFUNCTION("GOOGLETRANSLATE(B3791, ""fr"", ""en"")"),"Impec As said above: arretez to force people to deposit a minimum number of words ... you may not have opinions or that the negative!")</f>
        <v>Impec As said above: arretez to force people to deposit a minimum number of words ... you may not have opinions or that the negative!</v>
      </c>
    </row>
    <row r="3792">
      <c r="A3792" s="1">
        <v>4.0</v>
      </c>
      <c r="B3792" s="1" t="s">
        <v>3756</v>
      </c>
      <c r="C3792" t="str">
        <f>IFERROR(__xludf.DUMMYFUNCTION("GOOGLETRANSLATE(B3792, ""fr"", ""en"")"),"quality equipment to get coffee quickly")</f>
        <v>quality equipment to get coffee quickly</v>
      </c>
    </row>
    <row r="3793">
      <c r="A3793" s="1">
        <v>4.0</v>
      </c>
      <c r="B3793" s="1" t="s">
        <v>3757</v>
      </c>
      <c r="C3793" t="str">
        <f>IFERROR(__xludf.DUMMYFUNCTION("GOOGLETRANSLATE(B3793, ""fr"", ""en"")"),"Quality / good price Having tested many Bluetooth headsets, I am very impressed with the quality / price of these headphones Klim. Pros: -Price affordable -good sound quality luxury style -packaging putting the product in single -very use value Negatives:"&amp;" -The headphones are wide which does not really nice on the ears -the noise ( pushed to the maximum) is not very powerful -the transport box is rather fragile (I made the mistake of the left in the front pocket of my bag. Nothing serious). I recommend thi"&amp;"s product only if it is for simple operation like listening to music while commuting, ect .. If you want to listen to music with great quality and strong enough, you have not found your perfect match.")</f>
        <v>Quality / good price Having tested many Bluetooth headsets, I am very impressed with the quality / price of these headphones Klim. Pros: -Price affordable -good sound quality luxury style -packaging putting the product in single -very use value Negatives: -The headphones are wide which does not really nice on the ears -the noise ( pushed to the maximum) is not very powerful -the transport box is rather fragile (I made the mistake of the left in the front pocket of my bag. Nothing serious). I recommend this product only if it is for simple operation like listening to music while commuting, ect .. If you want to listen to music with great quality and strong enough, you have not found your perfect match.</v>
      </c>
    </row>
    <row r="3794">
      <c r="A3794" s="1">
        <v>5.0</v>
      </c>
      <c r="B3794" s="1" t="s">
        <v>3758</v>
      </c>
      <c r="C3794" t="str">
        <f>IFERROR(__xludf.DUMMYFUNCTION("GOOGLETRANSLATE(B3794, ""fr"", ""en"")"),"This product perfectly matches the photo Offered gift, it rained immediately. Quality, finish ... Very good quality / price ratio. Fast shipping in a nice case. Everything looks good, we'll see the use if it keeps its promises ...")</f>
        <v>This product perfectly matches the photo Offered gift, it rained immediately. Quality, finish ... Very good quality / price ratio. Fast shipping in a nice case. Everything looks good, we'll see the use if it keeps its promises ...</v>
      </c>
    </row>
    <row r="3795">
      <c r="A3795" s="1">
        <v>5.0</v>
      </c>
      <c r="B3795" s="1" t="s">
        <v>3759</v>
      </c>
      <c r="C3795" t="str">
        <f>IFERROR(__xludf.DUMMYFUNCTION("GOOGLETRANSLATE(B3795, ""fr"", ""en"")"),"very functional very good practice shows' lighting suits me very well, the bracelet does not hurt the numerals are very visible the real question is why other watches are they more expensive frankly less than 25 fresh euros including shipping: 5 alarms , "&amp;"a stopwatch a countdown two hours and a button to switch from summer time to winter time and risitante 10 bar (90 meters underwater)")</f>
        <v>very functional very good practice shows' lighting suits me very well, the bracelet does not hurt the numerals are very visible the real question is why other watches are they more expensive frankly less than 25 fresh euros including shipping: 5 alarms , a stopwatch a countdown two hours and a button to switch from summer time to winter time and risitante 10 bar (90 meters underwater)</v>
      </c>
    </row>
    <row r="3796">
      <c r="A3796" s="1">
        <v>5.0</v>
      </c>
      <c r="B3796" s="1" t="s">
        <v>3760</v>
      </c>
      <c r="C3796" t="str">
        <f>IFERROR(__xludf.DUMMYFUNCTION("GOOGLETRANSLATE(B3796, ""fr"", ""en"")"),"Kettle it suited my needs")</f>
        <v>Kettle it suited my needs</v>
      </c>
    </row>
    <row r="3797">
      <c r="A3797" s="1">
        <v>5.0</v>
      </c>
      <c r="B3797" s="1" t="s">
        <v>3761</v>
      </c>
      <c r="C3797" t="str">
        <f>IFERROR(__xludf.DUMMYFUNCTION("GOOGLETRANSLATE(B3797, ""fr"", ""en"")"),"LEATHER BAG Bel Seems look solid and sufficient practice Storage")</f>
        <v>LEATHER BAG Bel Seems look solid and sufficient practice Storage</v>
      </c>
    </row>
    <row r="3798">
      <c r="A3798" s="1">
        <v>5.0</v>
      </c>
      <c r="B3798" s="1" t="s">
        <v>3762</v>
      </c>
      <c r="C3798" t="str">
        <f>IFERROR(__xludf.DUMMYFUNCTION("GOOGLETRANSLATE(B3798, ""fr"", ""en"")"),"Good value This kettle is really the top. Easy to handle and clean. It is ideal for office .. It really does not take much space.")</f>
        <v>Good value This kettle is really the top. Easy to handle and clean. It is ideal for office .. It really does not take much space.</v>
      </c>
    </row>
    <row r="3799">
      <c r="A3799" s="1">
        <v>5.0</v>
      </c>
      <c r="B3799" s="1" t="s">
        <v>3763</v>
      </c>
      <c r="C3799" t="str">
        <f>IFERROR(__xludf.DUMMYFUNCTION("GOOGLETRANSLATE(B3799, ""fr"", ""en"")"),"conventional use, price and quality ditto")</f>
        <v>conventional use, price and quality ditto</v>
      </c>
    </row>
    <row r="3800">
      <c r="A3800" s="1">
        <v>5.0</v>
      </c>
      <c r="B3800" s="1" t="s">
        <v>3764</v>
      </c>
      <c r="C3800" t="str">
        <f>IFERROR(__xludf.DUMMYFUNCTION("GOOGLETRANSLATE(B3800, ""fr"", ""en"")"),"Great product I am walking, they are very comfortable in addition there is a small hole for hanging in case they fall. Very good battery life and good quality of sound. In addition there is the percentage of the battery on the charging stand. The quality "&amp;"of the microphone is bonne.je council this article")</f>
        <v>Great product I am walking, they are very comfortable in addition there is a small hole for hanging in case they fall. Very good battery life and good quality of sound. In addition there is the percentage of the battery on the charging stand. The quality of the microphone is bonne.je council this article</v>
      </c>
    </row>
    <row r="3801">
      <c r="A3801" s="1">
        <v>5.0</v>
      </c>
      <c r="B3801" s="1" t="s">
        <v>3765</v>
      </c>
      <c r="C3801" t="str">
        <f>IFERROR(__xludf.DUMMYFUNCTION("GOOGLETRANSLATE(B3801, ""fr"", ""en"")"),"The black steel bracelet class high quality and robust. The clasp is effective and easy to use, it does not open by itself. A + for the supply of the tool to extract links to fit the right size.")</f>
        <v>The black steel bracelet class high quality and robust. The clasp is effective and easy to use, it does not open by itself. A + for the supply of the tool to extract links to fit the right size.</v>
      </c>
    </row>
    <row r="3802">
      <c r="A3802" s="1">
        <v>5.0</v>
      </c>
      <c r="B3802" s="1" t="s">
        <v>3766</v>
      </c>
      <c r="C3802" t="str">
        <f>IFERROR(__xludf.DUMMYFUNCTION("GOOGLETRANSLATE(B3802, ""fr"", ""en"")"),"Satisfied Article compliant")</f>
        <v>Satisfied Article compliant</v>
      </c>
    </row>
    <row r="3803">
      <c r="A3803" s="1">
        <v>5.0</v>
      </c>
      <c r="B3803" s="1" t="s">
        <v>3767</v>
      </c>
      <c r="C3803" t="str">
        <f>IFERROR(__xludf.DUMMYFUNCTION("GOOGLETRANSLATE(B3803, ""fr"", ""en"")"),"Received quickly I can not find the associated bottle teats ... Nice")</f>
        <v>Received quickly I can not find the associated bottle teats ... Nice</v>
      </c>
    </row>
    <row r="3804">
      <c r="A3804" s="1">
        <v>5.0</v>
      </c>
      <c r="B3804" s="1" t="s">
        <v>3768</v>
      </c>
      <c r="C3804" t="str">
        <f>IFERROR(__xludf.DUMMYFUNCTION("GOOGLETRANSLATE(B3804, ""fr"", ""en"")"),"Lolo Excellent quality very good shoe")</f>
        <v>Lolo Excellent quality very good shoe</v>
      </c>
    </row>
    <row r="3805">
      <c r="A3805" s="1">
        <v>5.0</v>
      </c>
      <c r="B3805" s="1" t="s">
        <v>3769</v>
      </c>
      <c r="C3805" t="str">
        <f>IFERROR(__xludf.DUMMYFUNCTION("GOOGLETRANSLATE(B3805, ""fr"", ""en"")"),"Product The product is of good quality for leather but the sole wears out too quickly. Less than 1 year")</f>
        <v>Product The product is of good quality for leather but the sole wears out too quickly. Less than 1 year</v>
      </c>
    </row>
    <row r="3806">
      <c r="A3806" s="1">
        <v>5.0</v>
      </c>
      <c r="B3806" s="1" t="s">
        <v>3770</v>
      </c>
      <c r="C3806" t="str">
        <f>IFERROR(__xludf.DUMMYFUNCTION("GOOGLETRANSLATE(B3806, ""fr"", ""en"")"),"Super sandals are very comfortable, I take them everywhere, especially well suited for the holidays around the pools. I also serve as bedroom slippers.")</f>
        <v>Super sandals are very comfortable, I take them everywhere, especially well suited for the holidays around the pools. I also serve as bedroom slippers.</v>
      </c>
    </row>
    <row r="3807">
      <c r="A3807" s="1">
        <v>5.0</v>
      </c>
      <c r="B3807" s="1" t="s">
        <v>3771</v>
      </c>
      <c r="C3807" t="str">
        <f>IFERROR(__xludf.DUMMYFUNCTION("GOOGLETRANSLATE(B3807, ""fr"", ""en"")"),"Absolutely satisfied very good headphones, perfect for sports and daily includes: the housing, small bag to put the box the headphones spare small caps plastic very good quality of the charger comes already prepared charge employment. holds very well in t"&amp;"he ears, housing ipetit and discreet. I am fully satisfied and recommend")</f>
        <v>Absolutely satisfied very good headphones, perfect for sports and daily includes: the housing, small bag to put the box the headphones spare small caps plastic very good quality of the charger comes already prepared charge employment. holds very well in the ears, housing ipetit and discreet. I am fully satisfied and recommend</v>
      </c>
    </row>
    <row r="3808">
      <c r="A3808" s="1">
        <v>5.0</v>
      </c>
      <c r="B3808" s="1" t="s">
        <v>3772</v>
      </c>
      <c r="C3808" t="str">
        <f>IFERROR(__xludf.DUMMYFUNCTION("GOOGLETRANSLATE(B3808, ""fr"", ""en"")"),"Super Great")</f>
        <v>Super Great</v>
      </c>
    </row>
    <row r="3809">
      <c r="A3809" s="1">
        <v>2.0</v>
      </c>
      <c r="B3809" s="1" t="s">
        <v>3773</v>
      </c>
      <c r="C3809" t="str">
        <f>IFERROR(__xludf.DUMMYFUNCTION("GOOGLETRANSLATE(B3809, ""fr"", ""en"")"),"No. The paper is soft but certainly fine. Compared to Lotus Aqatutube I had before with this one I have to put three times more layers of paper so it does not tear during the wiping. The package will then lasted 2 to 3 times less time for the same price. "&amp;"I can not redeem.")</f>
        <v>No. The paper is soft but certainly fine. Compared to Lotus Aqatutube I had before with this one I have to put three times more layers of paper so it does not tear during the wiping. The package will then lasted 2 to 3 times less time for the same price. I can not redeem.</v>
      </c>
    </row>
    <row r="3810">
      <c r="A3810" s="1">
        <v>1.0</v>
      </c>
      <c r="B3810" s="1" t="s">
        <v>3774</v>
      </c>
      <c r="C3810" t="str">
        <f>IFERROR(__xludf.DUMMYFUNCTION("GOOGLETRANSLATE(B3810, ""fr"", ""en"")"),"Large rigid and rigid Size")</f>
        <v>Large rigid and rigid Size</v>
      </c>
    </row>
    <row r="3811">
      <c r="A3811" s="1">
        <v>3.0</v>
      </c>
      <c r="B3811" s="1" t="s">
        <v>3775</v>
      </c>
      <c r="C3811" t="str">
        <f>IFERROR(__xludf.DUMMYFUNCTION("GOOGLETRANSLATE(B3811, ""fr"", ""en"")"),"Fair! For fun!! Do not expect a great article !!!")</f>
        <v>Fair! For fun!! Do not expect a great article !!!</v>
      </c>
    </row>
    <row r="3812">
      <c r="A3812" s="1">
        <v>3.0</v>
      </c>
      <c r="B3812" s="1" t="s">
        <v>3776</v>
      </c>
      <c r="C3812" t="str">
        <f>IFERROR(__xludf.DUMMYFUNCTION("GOOGLETRANSLATE(B3812, ""fr"", ""en"")"),"Good cougar keeps up the damage that the delicate finesse .At make use sparingly if you do not want to see apparaîtres holes.")</f>
        <v>Good cougar keeps up the damage that the delicate finesse .At make use sparingly if you do not want to see apparaîtres holes.</v>
      </c>
    </row>
    <row r="3813">
      <c r="A3813" s="1">
        <v>4.0</v>
      </c>
      <c r="B3813" s="1" t="s">
        <v>3777</v>
      </c>
      <c r="C3813" t="str">
        <f>IFERROR(__xludf.DUMMYFUNCTION("GOOGLETRANSLATE(B3813, ""fr"", ""en"")"),"Well ... It was great for a gift requested by a teenager who was thrilled ... the product appears to conform to demande.super delighted")</f>
        <v>Well ... It was great for a gift requested by a teenager who was thrilled ... the product appears to conform to demande.super delighted</v>
      </c>
    </row>
    <row r="3814">
      <c r="A3814" s="1">
        <v>4.0</v>
      </c>
      <c r="B3814" s="1" t="s">
        <v>3778</v>
      </c>
      <c r="C3814" t="str">
        <f>IFERROR(__xludf.DUMMYFUNCTION("GOOGLETRANSLATE(B3814, ""fr"", ""en"")"),"SAV - Equipment ok I received the package in good condition and in time, unfortunately unpacking missing red coiled cable (link camcorder / receiver) On after the service online (chat) I just return it and all my money back! I have another cable from anot"&amp;"her micro, nevertheless very disappointed with the experience ... As for the hardware itself: great product, perfect and qualitative material damage incident. (Edict I got a business phone line, he credits my account to recommend the cable, All's Well Tha"&amp;"t Ends Well then!)")</f>
        <v>SAV - Equipment ok I received the package in good condition and in time, unfortunately unpacking missing red coiled cable (link camcorder / receiver) On after the service online (chat) I just return it and all my money back! I have another cable from another micro, nevertheless very disappointed with the experience ... As for the hardware itself: great product, perfect and qualitative material damage incident. (Edict I got a business phone line, he credits my account to recommend the cable, All's Well That Ends Well then!)</v>
      </c>
    </row>
    <row r="3815">
      <c r="A3815" s="1">
        <v>4.0</v>
      </c>
      <c r="B3815" s="1" t="s">
        <v>3779</v>
      </c>
      <c r="C3815" t="str">
        <f>IFERROR(__xludf.DUMMYFUNCTION("GOOGLETRANSLATE(B3815, ""fr"", ""en"")"),"The right choice to replace original cartridges must for printing large e-books of recent devices and have practical use without breaking the bank. Some chip management issues when the cartridge needs to be replaced (displays unrecognized cartridge). But "&amp;"the printer driver (status monitor) is working properly, so just throw the cartridge replacement procedure and everything is in order. Epson WF-2010 under Windows 10.")</f>
        <v>The right choice to replace original cartridges must for printing large e-books of recent devices and have practical use without breaking the bank. Some chip management issues when the cartridge needs to be replaced (displays unrecognized cartridge). But the printer driver (status monitor) is working properly, so just throw the cartridge replacement procedure and everything is in order. Epson WF-2010 under Windows 10.</v>
      </c>
    </row>
    <row r="3816">
      <c r="A3816" s="1">
        <v>4.0</v>
      </c>
      <c r="B3816" s="1" t="s">
        <v>3780</v>
      </c>
      <c r="C3816" t="str">
        <f>IFERROR(__xludf.DUMMYFUNCTION("GOOGLETRANSLATE(B3816, ""fr"", ""en"")"),"very nice very nice rendering - but not transparent large size")</f>
        <v>very nice very nice rendering - but not transparent large size</v>
      </c>
    </row>
    <row r="3817">
      <c r="A3817" s="1">
        <v>4.0</v>
      </c>
      <c r="B3817" s="1" t="s">
        <v>3781</v>
      </c>
      <c r="C3817" t="str">
        <f>IFERROR(__xludf.DUMMYFUNCTION("GOOGLETRANSLATE(B3817, ""fr"", ""en"")"),"Basketball Fast transaction and footwear consistent with the description")</f>
        <v>Basketball Fast transaction and footwear consistent with the description</v>
      </c>
    </row>
    <row r="3818">
      <c r="A3818" s="1">
        <v>5.0</v>
      </c>
      <c r="B3818" s="1" t="s">
        <v>3782</v>
      </c>
      <c r="C3818" t="str">
        <f>IFERROR(__xludf.DUMMYFUNCTION("GOOGLETRANSLATE(B3818, ""fr"", ""en"")"),"Essential oil diffuser I wanted to enjoy the benefits of essential oils and I have ordered the broadcaster. He's very cute in size and design but it is also very effective, it has found its way quickly. I do not regret my choice, I recommend it highly.")</f>
        <v>Essential oil diffuser I wanted to enjoy the benefits of essential oils and I have ordered the broadcaster. He's very cute in size and design but it is also very effective, it has found its way quickly. I do not regret my choice, I recommend it highly.</v>
      </c>
    </row>
    <row r="3819">
      <c r="A3819" s="1">
        <v>5.0</v>
      </c>
      <c r="B3819" s="1" t="s">
        <v>3783</v>
      </c>
      <c r="C3819" t="str">
        <f>IFERROR(__xludf.DUMMYFUNCTION("GOOGLETRANSLATE(B3819, ""fr"", ""en"")"),"Excellent quality / price ratio Hello, I just bought these headphones and I am pleasantly surprised by the very good general quality. Listed on the long term. Highlight: - its material and good quality - 6 tips peers - memory foam is just awesome Weakness"&amp;": - The length of the wire is too long in my opinion. cordially")</f>
        <v>Excellent quality / price ratio Hello, I just bought these headphones and I am pleasantly surprised by the very good general quality. Listed on the long term. Highlight: - its material and good quality - 6 tips peers - memory foam is just awesome Weakness: - The length of the wire is too long in my opinion. cordially</v>
      </c>
    </row>
    <row r="3820">
      <c r="A3820" s="1">
        <v>5.0</v>
      </c>
      <c r="B3820" s="1" t="s">
        <v>3784</v>
      </c>
      <c r="C3820" t="str">
        <f>IFERROR(__xludf.DUMMYFUNCTION("GOOGLETRANSLATE(B3820, ""fr"", ""en"")"),"BTS concert it was worth € 40 My daughter loves")</f>
        <v>BTS concert it was worth € 40 My daughter loves</v>
      </c>
    </row>
    <row r="3821">
      <c r="A3821" s="1">
        <v>5.0</v>
      </c>
      <c r="B3821" s="1" t="s">
        <v>3785</v>
      </c>
      <c r="C3821" t="str">
        <f>IFERROR(__xludf.DUMMYFUNCTION("GOOGLETRANSLATE(B3821, ""fr"", ""en"")"),"Superb slippers The quality is there. Size does not normally hurt the foot, good value for money! I recommend this product to all men who want quality slippers")</f>
        <v>Superb slippers The quality is there. Size does not normally hurt the foot, good value for money! I recommend this product to all men who want quality slippers</v>
      </c>
    </row>
    <row r="3822">
      <c r="A3822" s="1">
        <v>5.0</v>
      </c>
      <c r="B3822" s="1" t="s">
        <v>3786</v>
      </c>
      <c r="C3822" t="str">
        <f>IFERROR(__xludf.DUMMYFUNCTION("GOOGLETRANSLATE(B3822, ""fr"", ""en"")"),"suoer brand I take this brand from the birth of my son, they are at the top and nipples adapted to the age of the child. No pain no longer stomach, I am delighted")</f>
        <v>suoer brand I take this brand from the birth of my son, they are at the top and nipples adapted to the age of the child. No pain no longer stomach, I am delighted</v>
      </c>
    </row>
    <row r="3823">
      <c r="A3823" s="1">
        <v>5.0</v>
      </c>
      <c r="B3823" s="1" t="s">
        <v>3787</v>
      </c>
      <c r="C3823" t="str">
        <f>IFERROR(__xludf.DUMMYFUNCTION("GOOGLETRANSLATE(B3823, ""fr"", ""en"")"),"I recommend sending Perfect fast")</f>
        <v>I recommend sending Perfect fast</v>
      </c>
    </row>
    <row r="3824">
      <c r="A3824" s="1">
        <v>5.0</v>
      </c>
      <c r="B3824" s="1" t="s">
        <v>3788</v>
      </c>
      <c r="C3824" t="str">
        <f>IFERROR(__xludf.DUMMYFUNCTION("GOOGLETRANSLATE(B3824, ""fr"", ""en"")"),"the wax that has the color it takes Superb, a happiness to extend it cirerait shoes for fun only with this wax. And what a range of colors!")</f>
        <v>the wax that has the color it takes Superb, a happiness to extend it cirerait shoes for fun only with this wax. And what a range of colors!</v>
      </c>
    </row>
    <row r="3825">
      <c r="A3825" s="1">
        <v>5.0</v>
      </c>
      <c r="B3825" s="1" t="s">
        <v>3789</v>
      </c>
      <c r="C3825" t="str">
        <f>IFERROR(__xludf.DUMMYFUNCTION("GOOGLETRANSLATE(B3825, ""fr"", ""en"")"),"Like slippers Good product for daily use")</f>
        <v>Like slippers Good product for daily use</v>
      </c>
    </row>
    <row r="3826">
      <c r="A3826" s="1">
        <v>5.0</v>
      </c>
      <c r="B3826" s="1" t="s">
        <v>3790</v>
      </c>
      <c r="C3826" t="str">
        <f>IFERROR(__xludf.DUMMYFUNCTION("GOOGLETRANSLATE(B3826, ""fr"", ""en"")"),"Perfect qualiter on top has a great ireprochable qualiter nothing for his award dir qualiter sound and super good and the tripod too well")</f>
        <v>Perfect qualiter on top has a great ireprochable qualiter nothing for his award dir qualiter sound and super good and the tripod too well</v>
      </c>
    </row>
    <row r="3827">
      <c r="A3827" s="1">
        <v>5.0</v>
      </c>
      <c r="B3827" s="1" t="s">
        <v>3791</v>
      </c>
      <c r="C3827" t="str">
        <f>IFERROR(__xludf.DUMMYFUNCTION("GOOGLETRANSLATE(B3827, ""fr"", ""en"")"),"good comfort")</f>
        <v>good comfort</v>
      </c>
    </row>
    <row r="3828">
      <c r="A3828" s="1">
        <v>5.0</v>
      </c>
      <c r="B3828" s="1" t="s">
        <v>3792</v>
      </c>
      <c r="C3828" t="str">
        <f>IFERROR(__xludf.DUMMYFUNCTION("GOOGLETRANSLATE(B3828, ""fr"", ""en"")"),"The heating fine electric blanket is very good. This is the best gift for parents, lovers, friends and children this winter. This Warmer Cushion can effectively warm up your body and relieve pain")</f>
        <v>The heating fine electric blanket is very good. This is the best gift for parents, lovers, friends and children this winter. This Warmer Cushion can effectively warm up your body and relieve pain</v>
      </c>
    </row>
    <row r="3829">
      <c r="A3829" s="1">
        <v>5.0</v>
      </c>
      <c r="B3829" s="1" t="s">
        <v>3793</v>
      </c>
      <c r="C3829" t="str">
        <f>IFERROR(__xludf.DUMMYFUNCTION("GOOGLETRANSLATE(B3829, ""fr"", ""en"")"),"I love that I wear wrist watch for already 1 month every day without exception, great, thank you for this.")</f>
        <v>I love that I wear wrist watch for already 1 month every day without exception, great, thank you for this.</v>
      </c>
    </row>
    <row r="3830">
      <c r="A3830" s="1">
        <v>5.0</v>
      </c>
      <c r="B3830" s="1" t="s">
        <v>3794</v>
      </c>
      <c r="C3830" t="str">
        <f>IFERROR(__xludf.DUMMYFUNCTION("GOOGLETRANSLATE(B3830, ""fr"", ""en"")"),"Kettle easy to use It is a good idea to have coffee encrusted LED lights")</f>
        <v>Kettle easy to use It is a good idea to have coffee encrusted LED lights</v>
      </c>
    </row>
    <row r="3831">
      <c r="A3831" s="1">
        <v>5.0</v>
      </c>
      <c r="B3831" s="1" t="s">
        <v>3795</v>
      </c>
      <c r="C3831" t="str">
        <f>IFERROR(__xludf.DUMMYFUNCTION("GOOGLETRANSLATE(B3831, ""fr"", ""en"")"),"Top My teenager is very happy, the sound is good, easy to put the ears and easy in his little box has storage and recharge is original, I will recommend to my nephews because cheap and good report price quality")</f>
        <v>Top My teenager is very happy, the sound is good, easy to put the ears and easy in his little box has storage and recharge is original, I will recommend to my nephews because cheap and good report price quality</v>
      </c>
    </row>
    <row r="3832">
      <c r="A3832" s="1">
        <v>5.0</v>
      </c>
      <c r="B3832" s="1" t="s">
        <v>1547</v>
      </c>
      <c r="C3832" t="str">
        <f>IFERROR(__xludf.DUMMYFUNCTION("GOOGLETRANSLATE(B3832, ""fr"", ""en"")"),"Ras Ras")</f>
        <v>Ras Ras</v>
      </c>
    </row>
    <row r="3833">
      <c r="A3833" s="1">
        <v>5.0</v>
      </c>
      <c r="B3833" s="1" t="s">
        <v>3796</v>
      </c>
      <c r="C3833" t="str">
        <f>IFERROR(__xludf.DUMMYFUNCTION("GOOGLETRANSLATE(B3833, ""fr"", ""en"")"),"Great product, except the price! A beautiful bag, leather is good, the seams are solid, the design is perfect, I'm very satisfied with my purchase, against delivery people are not professionals, packages thrown in my way, unfortunately it was raining that"&amp;" day, cardboard Amazon was completely soaked, luckily Visconti must know our drivers, the leather bag was wrapped in several containing solely the final canvas bag that wraps the product was slightly damp, leather has no damage! Amazon Visconti 10/10 10/1"&amp;"0 00/10 Delivery")</f>
        <v>Great product, except the price! A beautiful bag, leather is good, the seams are solid, the design is perfect, I'm very satisfied with my purchase, against delivery people are not professionals, packages thrown in my way, unfortunately it was raining that day, cardboard Amazon was completely soaked, luckily Visconti must know our drivers, the leather bag was wrapped in several containing solely the final canvas bag that wraps the product was slightly damp, leather has no damage! Amazon Visconti 10/10 10/10 00/10 Delivery</v>
      </c>
    </row>
    <row r="3834">
      <c r="A3834" s="1">
        <v>2.0</v>
      </c>
      <c r="B3834" s="1" t="s">
        <v>3797</v>
      </c>
      <c r="C3834" t="str">
        <f>IFERROR(__xludf.DUMMYFUNCTION("GOOGLETRANSLATE(B3834, ""fr"", ""en"")"),"Very disappointing Bad not too tight and well-cut light material is not solid at all. Not waterproof no need for sport")</f>
        <v>Very disappointing Bad not too tight and well-cut light material is not solid at all. Not waterproof no need for sport</v>
      </c>
    </row>
    <row r="3835">
      <c r="A3835" s="1">
        <v>1.0</v>
      </c>
      <c r="B3835" s="1" t="s">
        <v>3798</v>
      </c>
      <c r="C3835" t="str">
        <f>IFERROR(__xludf.DUMMYFUNCTION("GOOGLETRANSLATE(B3835, ""fr"", ""en"")"),"Strength mediocre at the sole To be honest these shoes are not aesthetically awful but in terms of strength is still a disaster I had to wear them fifteen times and the week starts to get very disappointed with his shoes")</f>
        <v>Strength mediocre at the sole To be honest these shoes are not aesthetically awful but in terms of strength is still a disaster I had to wear them fifteen times and the week starts to get very disappointed with his shoes</v>
      </c>
    </row>
    <row r="3836">
      <c r="A3836" s="1">
        <v>1.0</v>
      </c>
      <c r="B3836" s="1" t="s">
        <v>3799</v>
      </c>
      <c r="C3836" t="str">
        <f>IFERROR(__xludf.DUMMYFUNCTION("GOOGLETRANSLATE(B3836, ""fr"", ""en"")"),"DISAPPOINTMENT I bought this mic as a Christmas gift for my daughter. HUGE DISAPPOINTMENT. Only speakers work and not the microphone, gold is for the microphone I made this purchase. I do not recommend.")</f>
        <v>DISAPPOINTMENT I bought this mic as a Christmas gift for my daughter. HUGE DISAPPOINTMENT. Only speakers work and not the microphone, gold is for the microphone I made this purchase. I do not recommend.</v>
      </c>
    </row>
    <row r="3837">
      <c r="A3837" s="1">
        <v>3.0</v>
      </c>
      <c r="B3837" s="1" t="s">
        <v>3800</v>
      </c>
      <c r="C3837" t="str">
        <f>IFERROR(__xludf.DUMMYFUNCTION("GOOGLETRANSLATE(B3837, ""fr"", ""en"")"),"manual operation is convenient but deserves to be improved principle is nice, no need battery or batteries, the labeling machine is manual if that is rather convenient. but the letters s print correctly we must press hard enough and more to cut the ribbon"&amp;". s the simplest is to remove the small handle in order to have direct small trigger that is below and its becomes easier ...")</f>
        <v>manual operation is convenient but deserves to be improved principle is nice, no need battery or batteries, the labeling machine is manual if that is rather convenient. but the letters s print correctly we must press hard enough and more to cut the ribbon. s the simplest is to remove the small handle in order to have direct small trigger that is below and its becomes easier ...</v>
      </c>
    </row>
    <row r="3838">
      <c r="A3838" s="1">
        <v>3.0</v>
      </c>
      <c r="B3838" s="1" t="s">
        <v>3801</v>
      </c>
      <c r="C3838" t="str">
        <f>IFERROR(__xludf.DUMMYFUNCTION("GOOGLETRANSLATE(B3838, ""fr"", ""en"")"),"Average quality for calling this headset fulfills its main function, which is to listen to music, the sound is really good insulation to external noise is quite good. Comfort becomes annoying after a while, the headphones used, and starts to hurt after a "&amp;"while. But the real draw is that when we take a call, the person we have online hears us far even in a place without noise. Can not make a conversation in the street. I therefore recommend this helmet for those who want to listen to music with a good audi"&amp;"o quality")</f>
        <v>Average quality for calling this headset fulfills its main function, which is to listen to music, the sound is really good insulation to external noise is quite good. Comfort becomes annoying after a while, the headphones used, and starts to hurt after a while. But the real draw is that when we take a call, the person we have online hears us far even in a place without noise. Can not make a conversation in the street. I therefore recommend this helmet for those who want to listen to music with a good audio quality</v>
      </c>
    </row>
    <row r="3839">
      <c r="A3839" s="1">
        <v>4.0</v>
      </c>
      <c r="B3839" s="1" t="s">
        <v>3802</v>
      </c>
      <c r="C3839" t="str">
        <f>IFERROR(__xludf.DUMMYFUNCTION("GOOGLETRANSLATE(B3839, ""fr"", ""en"")"),"A little thicker would not hurt .... Ordered to replace my old fleece which had its time .. Overall it is a good product but a little thin for my taste when one wants to used outdoors. For the interior is perfect.")</f>
        <v>A little thicker would not hurt .... Ordered to replace my old fleece which had its time .. Overall it is a good product but a little thin for my taste when one wants to used outdoors. For the interior is perfect.</v>
      </c>
    </row>
    <row r="3840">
      <c r="A3840" s="1">
        <v>4.0</v>
      </c>
      <c r="B3840" s="1" t="s">
        <v>3803</v>
      </c>
      <c r="C3840" t="str">
        <f>IFERROR(__xludf.DUMMYFUNCTION("GOOGLETRANSLATE(B3840, ""fr"", ""en"")"),"Vintage Toaster! Super toaster vintage! He can not take large thick slice is the only negative. A little too imposing, but it's a nice kitchen accessory.")</f>
        <v>Vintage Toaster! Super toaster vintage! He can not take large thick slice is the only negative. A little too imposing, but it's a nice kitchen accessory.</v>
      </c>
    </row>
    <row r="3841">
      <c r="A3841" s="1">
        <v>4.0</v>
      </c>
      <c r="B3841" s="1" t="s">
        <v>3804</v>
      </c>
      <c r="C3841" t="str">
        <f>IFERROR(__xludf.DUMMYFUNCTION("GOOGLETRANSLATE(B3841, ""fr"", ""en"")"),"Discreet. Received on time. The stripping of the sheath is a bit difficult and we must be careful in separating the conductors, not to tear the sheath of the other (much like bacon bags). Once installed along my beams, this cable is very discreet.")</f>
        <v>Discreet. Received on time. The stripping of the sheath is a bit difficult and we must be careful in separating the conductors, not to tear the sheath of the other (much like bacon bags). Once installed along my beams, this cable is very discreet.</v>
      </c>
    </row>
    <row r="3842">
      <c r="A3842" s="1">
        <v>4.0</v>
      </c>
      <c r="B3842" s="1" t="s">
        <v>3805</v>
      </c>
      <c r="C3842" t="str">
        <f>IFERROR(__xludf.DUMMYFUNCTION("GOOGLETRANSLATE(B3842, ""fr"", ""en"")"),"Satisfied Exactly what I expected .pas surprise, recommenderai later. I hope this article will suivi.Ce be nice if there were more colors.")</f>
        <v>Satisfied Exactly what I expected .pas surprise, recommenderai later. I hope this article will suivi.Ce be nice if there were more colors.</v>
      </c>
    </row>
    <row r="3843">
      <c r="A3843" s="1">
        <v>5.0</v>
      </c>
      <c r="B3843" s="1" t="s">
        <v>3806</v>
      </c>
      <c r="C3843" t="str">
        <f>IFERROR(__xludf.DUMMYFUNCTION("GOOGLETRANSLATE(B3843, ""fr"", ""en"")"),"Excellent product solid, beautiful, practical. Perfect for those who like this type of product. The build quality suggests a long use.")</f>
        <v>Excellent product solid, beautiful, practical. Perfect for those who like this type of product. The build quality suggests a long use.</v>
      </c>
    </row>
    <row r="3844">
      <c r="A3844" s="1">
        <v>5.0</v>
      </c>
      <c r="B3844" s="1" t="s">
        <v>3807</v>
      </c>
      <c r="C3844" t="str">
        <f>IFERROR(__xludf.DUMMYFUNCTION("GOOGLETRANSLATE(B3844, ""fr"", ""en"")"),"great product that more consistent and at an unbeatable price")</f>
        <v>great product that more consistent and at an unbeatable price</v>
      </c>
    </row>
    <row r="3845">
      <c r="A3845" s="1">
        <v>5.0</v>
      </c>
      <c r="B3845" s="1" t="s">
        <v>3808</v>
      </c>
      <c r="C3845" t="str">
        <f>IFERROR(__xludf.DUMMYFUNCTION("GOOGLETRANSLATE(B3845, ""fr"", ""en"")"),"Top Bought for renovating an apartment and ask speakers blast wall sockets. The cable is well made and sturdy. I recommend")</f>
        <v>Top Bought for renovating an apartment and ask speakers blast wall sockets. The cable is well made and sturdy. I recommend</v>
      </c>
    </row>
    <row r="3846">
      <c r="A3846" s="1">
        <v>5.0</v>
      </c>
      <c r="B3846" s="1" t="s">
        <v>3809</v>
      </c>
      <c r="C3846" t="str">
        <f>IFERROR(__xludf.DUMMYFUNCTION("GOOGLETRANSLATE(B3846, ""fr"", ""en"")"),"A real favorite for this beautiful little bag goes everywhere. Yes, it is small but adequate when one is not one to be burdened superfluous. It can be worn on the shoulder or across the body (for my part, I prefer). It is light (when empty, of course ^^) "&amp;"and flexible enough. I have read many comments on smelling it, but only after ordering, suddenly, I was a little afraid of what I would find on arrival. But in fact, this is not disturbing at all. It smells like leather what! A faultless in my case. I JUS"&amp;"T LOVE IT !")</f>
        <v>A real favorite for this beautiful little bag goes everywhere. Yes, it is small but adequate when one is not one to be burdened superfluous. It can be worn on the shoulder or across the body (for my part, I prefer). It is light (when empty, of course ^^) and flexible enough. I have read many comments on smelling it, but only after ordering, suddenly, I was a little afraid of what I would find on arrival. But in fact, this is not disturbing at all. It smells like leather what! A faultless in my case. I JUST LOVE IT !</v>
      </c>
    </row>
    <row r="3847">
      <c r="A3847" s="1">
        <v>5.0</v>
      </c>
      <c r="B3847" s="1" t="s">
        <v>3810</v>
      </c>
      <c r="C3847" t="str">
        <f>IFERROR(__xludf.DUMMYFUNCTION("GOOGLETRANSLATE(B3847, ""fr"", ""en"")"),"Always effective! This is a must to have for tours linens that are mixed carefree, ie without transfer of colors to exit if you see what I mean. It's simple but so convenient that I can not live without it and I highly recommend you.")</f>
        <v>Always effective! This is a must to have for tours linens that are mixed carefree, ie without transfer of colors to exit if you see what I mean. It's simple but so convenient that I can not live without it and I highly recommend you.</v>
      </c>
    </row>
    <row r="3848">
      <c r="A3848" s="1">
        <v>5.0</v>
      </c>
      <c r="B3848" s="1" t="s">
        <v>3811</v>
      </c>
      <c r="C3848" t="str">
        <f>IFERROR(__xludf.DUMMYFUNCTION("GOOGLETRANSLATE(B3848, ""fr"", ""en"")"),"perfect dummies resistant in time")</f>
        <v>perfect dummies resistant in time</v>
      </c>
    </row>
    <row r="3849">
      <c r="A3849" s="1">
        <v>5.0</v>
      </c>
      <c r="B3849" s="1" t="s">
        <v>3812</v>
      </c>
      <c r="C3849" t="str">
        <f>IFERROR(__xludf.DUMMYFUNCTION("GOOGLETRANSLATE(B3849, ""fr"", ""en"")"),"Stable and lightweight Very good small tripod, stable, lightweight but strong, simple design and ridiculous prices. Used with a Rode NT4 known for its heavy weight. No tipping. A second tripod allows me to position two Rode NT5 in large AB taken for its s"&amp;"cenic outdoors")</f>
        <v>Stable and lightweight Very good small tripod, stable, lightweight but strong, simple design and ridiculous prices. Used with a Rode NT4 known for its heavy weight. No tipping. A second tripod allows me to position two Rode NT5 in large AB taken for its scenic outdoors</v>
      </c>
    </row>
    <row r="3850">
      <c r="A3850" s="1">
        <v>5.0</v>
      </c>
      <c r="B3850" s="1" t="s">
        <v>3813</v>
      </c>
      <c r="C3850" t="str">
        <f>IFERROR(__xludf.DUMMYFUNCTION("GOOGLETRANSLATE(B3850, ""fr"", ""en"")"),"At the top for sports or not So delivery and product conformity. The headphones fit easily, you are three sizes possible inside the box. The Bluetooth connection is quick and easy. The sound is of exceptional quality, and noise reduction is effective. In "&amp;"sports, they hold very well in the ears despite sweating, their autonomy is reliable and consistent, reliable rechargeable box suddenly eager for my sport sessions. Management with bose connect is easy and quick. Sport with such headphones, this is really"&amp;" the best!")</f>
        <v>At the top for sports or not So delivery and product conformity. The headphones fit easily, you are three sizes possible inside the box. The Bluetooth connection is quick and easy. The sound is of exceptional quality, and noise reduction is effective. In sports, they hold very well in the ears despite sweating, their autonomy is reliable and consistent, reliable rechargeable box suddenly eager for my sport sessions. Management with bose connect is easy and quick. Sport with such headphones, this is really the best!</v>
      </c>
    </row>
    <row r="3851">
      <c r="A3851" s="1">
        <v>5.0</v>
      </c>
      <c r="B3851" s="1" t="s">
        <v>3814</v>
      </c>
      <c r="C3851" t="str">
        <f>IFERROR(__xludf.DUMMYFUNCTION("GOOGLETRANSLATE(B3851, ""fr"", ""en"")"),"Okay products in line with expectations")</f>
        <v>Okay products in line with expectations</v>
      </c>
    </row>
    <row r="3852">
      <c r="A3852" s="1">
        <v>5.0</v>
      </c>
      <c r="B3852" s="1" t="s">
        <v>3815</v>
      </c>
      <c r="C3852" t="str">
        <f>IFERROR(__xludf.DUMMYFUNCTION("GOOGLETRANSLATE(B3852, ""fr"", ""en"")"),"nothing Satisfied")</f>
        <v>nothing Satisfied</v>
      </c>
    </row>
    <row r="3853">
      <c r="A3853" s="1">
        <v>5.0</v>
      </c>
      <c r="B3853" s="1" t="s">
        <v>3816</v>
      </c>
      <c r="C3853" t="str">
        <f>IFERROR(__xludf.DUMMYFUNCTION("GOOGLETRANSLATE(B3853, ""fr"", ""en"")"),"Very satisfied very comfortable shoes for hiking Ideal Command super")</f>
        <v>Very satisfied very comfortable shoes for hiking Ideal Command super</v>
      </c>
    </row>
    <row r="3854">
      <c r="A3854" s="1">
        <v>5.0</v>
      </c>
      <c r="B3854" s="1" t="s">
        <v>3817</v>
      </c>
      <c r="C3854" t="str">
        <f>IFERROR(__xludf.DUMMYFUNCTION("GOOGLETRANSLATE(B3854, ""fr"", ""en"")"),"A great pair! So classes and ultra comfortable! An alternative to the super StanSmith that everyone wears. It is worn with everything")</f>
        <v>A great pair! So classes and ultra comfortable! An alternative to the super StanSmith that everyone wears. It is worn with everything</v>
      </c>
    </row>
    <row r="3855">
      <c r="A3855" s="1">
        <v>5.0</v>
      </c>
      <c r="B3855" s="1" t="s">
        <v>3818</v>
      </c>
      <c r="C3855" t="str">
        <f>IFERROR(__xludf.DUMMYFUNCTION("GOOGLETRANSLATE(B3855, ""fr"", ""en"")"),"ink cartridge 541 canon xl attractive price, high capacity, fast delivery")</f>
        <v>ink cartridge 541 canon xl attractive price, high capacity, fast delivery</v>
      </c>
    </row>
    <row r="3856">
      <c r="A3856" s="1">
        <v>5.0</v>
      </c>
      <c r="B3856" s="1" t="s">
        <v>3819</v>
      </c>
      <c r="C3856" t="str">
        <f>IFERROR(__xludf.DUMMYFUNCTION("GOOGLETRANSLATE(B3856, ""fr"", ""en"")"),"Top Awesome")</f>
        <v>Top Awesome</v>
      </c>
    </row>
    <row r="3857">
      <c r="A3857" s="1">
        <v>5.0</v>
      </c>
      <c r="B3857" s="1" t="s">
        <v>3820</v>
      </c>
      <c r="C3857" t="str">
        <f>IFERROR(__xludf.DUMMYFUNCTION("GOOGLETRANSLATE(B3857, ""fr"", ""en"")"),"Impeccable, disappointed 5 days 7 7:30 / days in and zero worries, is doing well, no pain. Warning some colleagues wanted tested but wide feet feel pain on the right or left at the shell")</f>
        <v>Impeccable, disappointed 5 days 7 7:30 / days in and zero worries, is doing well, no pain. Warning some colleagues wanted tested but wide feet feel pain on the right or left at the shell</v>
      </c>
    </row>
    <row r="3858">
      <c r="A3858" s="1">
        <v>2.0</v>
      </c>
      <c r="B3858" s="1" t="s">
        <v>3821</v>
      </c>
      <c r="C3858" t="str">
        <f>IFERROR(__xludf.DUMMYFUNCTION("GOOGLETRANSLATE(B3858, ""fr"", ""en"")"),"Leather renovation. Product not terrible, did not cracking off again on a leather sofa, and removes color. I'm disappointed.")</f>
        <v>Leather renovation. Product not terrible, did not cracking off again on a leather sofa, and removes color. I'm disappointed.</v>
      </c>
    </row>
    <row r="3859">
      <c r="A3859" s="1">
        <v>1.0</v>
      </c>
      <c r="B3859" s="1" t="s">
        <v>3822</v>
      </c>
      <c r="C3859" t="str">
        <f>IFERROR(__xludf.DUMMYFUNCTION("GOOGLETRANSLATE(B3859, ""fr"", ""en"")"),"the price does not match the product (too expensive) impossible to match day and date !!!")</f>
        <v>the price does not match the product (too expensive) impossible to match day and date !!!</v>
      </c>
    </row>
    <row r="3860">
      <c r="A3860" s="1">
        <v>1.0</v>
      </c>
      <c r="B3860" s="1" t="s">
        <v>3823</v>
      </c>
      <c r="C3860" t="str">
        <f>IFERROR(__xludf.DUMMYFUNCTION("GOOGLETRANSLATE(B3860, ""fr"", ""en"")"),"Too small You take one size bigger!")</f>
        <v>Too small You take one size bigger!</v>
      </c>
    </row>
    <row r="3861">
      <c r="A3861" s="1">
        <v>3.0</v>
      </c>
      <c r="B3861" s="1" t="s">
        <v>3824</v>
      </c>
      <c r="C3861" t="str">
        <f>IFERROR(__xludf.DUMMYFUNCTION("GOOGLETRANSLATE(B3861, ""fr"", ""en"")"),"I found the same beaucoup moin is expensive .. Use to walk, very fragile ...")</f>
        <v>I found the same beaucoup moin is expensive .. Use to walk, very fragile ...</v>
      </c>
    </row>
    <row r="3862">
      <c r="A3862" s="1">
        <v>3.0</v>
      </c>
      <c r="B3862" s="1" t="s">
        <v>3825</v>
      </c>
      <c r="C3862" t="str">
        <f>IFERROR(__xludf.DUMMYFUNCTION("GOOGLETRANSLATE(B3862, ""fr"", ""en"")"),"Not good value value for money compared But pity the opening must be with another hands no button Auto Aperture")</f>
        <v>Not good value value for money compared But pity the opening must be with another hands no button Auto Aperture</v>
      </c>
    </row>
    <row r="3863">
      <c r="A3863" s="1">
        <v>4.0</v>
      </c>
      <c r="B3863" s="1" t="s">
        <v>3826</v>
      </c>
      <c r="C3863" t="str">
        <f>IFERROR(__xludf.DUMMYFUNCTION("GOOGLETRANSLATE(B3863, ""fr"", ""en"")"),"Very nice to use songs at parties with friends")</f>
        <v>Very nice to use songs at parties with friends</v>
      </c>
    </row>
    <row r="3864">
      <c r="A3864" s="1">
        <v>4.0</v>
      </c>
      <c r="B3864" s="1" t="s">
        <v>3827</v>
      </c>
      <c r="C3864" t="str">
        <f>IFERROR(__xludf.DUMMYFUNCTION("GOOGLETRANSLATE(B3864, ""fr"", ""en"")"),"Super hot to walk in the house when it's cold, but wear with a shirt underneath because the seams scrape a bit ;-)")</f>
        <v>Super hot to walk in the house when it's cold, but wear with a shirt underneath because the seams scrape a bit ;-)</v>
      </c>
    </row>
    <row r="3865">
      <c r="A3865" s="1">
        <v>4.0</v>
      </c>
      <c r="B3865" s="1" t="s">
        <v>3828</v>
      </c>
      <c r="C3865" t="str">
        <f>IFERROR(__xludf.DUMMYFUNCTION("GOOGLETRANSLATE(B3865, ""fr"", ""en"")"),"Beautiful but stylish outerwear is a bit wide")</f>
        <v>Beautiful but stylish outerwear is a bit wide</v>
      </c>
    </row>
    <row r="3866">
      <c r="A3866" s="1">
        <v>4.0</v>
      </c>
      <c r="B3866" s="1" t="s">
        <v>3829</v>
      </c>
      <c r="C3866" t="str">
        <f>IFERROR(__xludf.DUMMYFUNCTION("GOOGLETRANSLATE(B3866, ""fr"", ""en"")"),"Done appears fragile job for the live between a controller and social networks")</f>
        <v>Done appears fragile job for the live between a controller and social networks</v>
      </c>
    </row>
    <row r="3867">
      <c r="A3867" s="1">
        <v>5.0</v>
      </c>
      <c r="B3867" s="1" t="s">
        <v>3830</v>
      </c>
      <c r="C3867" t="str">
        <f>IFERROR(__xludf.DUMMYFUNCTION("GOOGLETRANSLATE(B3867, ""fr"", ""en"")"),"Very good super comfortable Great product and received the right size I can do without it I'll even order in another color")</f>
        <v>Very good super comfortable Great product and received the right size I can do without it I'll even order in another color</v>
      </c>
    </row>
    <row r="3868">
      <c r="A3868" s="1">
        <v>5.0</v>
      </c>
      <c r="B3868" s="1" t="s">
        <v>3831</v>
      </c>
      <c r="C3868" t="str">
        <f>IFERROR(__xludf.DUMMYFUNCTION("GOOGLETRANSLATE(B3868, ""fr"", ""en"")"),"Large envelopes super quality As always with Clairefontaine products that I use for my college years, great quality. These envelopes are big and strong.")</f>
        <v>Large envelopes super quality As always with Clairefontaine products that I use for my college years, great quality. These envelopes are big and strong.</v>
      </c>
    </row>
    <row r="3869">
      <c r="A3869" s="1">
        <v>5.0</v>
      </c>
      <c r="B3869" s="1" t="s">
        <v>3832</v>
      </c>
      <c r="C3869" t="str">
        <f>IFERROR(__xludf.DUMMYFUNCTION("GOOGLETRANSLATE(B3869, ""fr"", ""en"")"),"Very Good Good, makes his job")</f>
        <v>Very Good Good, makes his job</v>
      </c>
    </row>
    <row r="3870">
      <c r="A3870" s="1">
        <v>5.0</v>
      </c>
      <c r="B3870" s="1" t="s">
        <v>3833</v>
      </c>
      <c r="C3870" t="str">
        <f>IFERROR(__xludf.DUMMYFUNCTION("GOOGLETRANSLATE(B3870, ""fr"", ""en"")"),"Perfect is perfect! Thick curve well and he made a very beautiful silhouette I use for fever, it is very nice, tall, I feel very well moving and well maintained I highly recommend")</f>
        <v>Perfect is perfect! Thick curve well and he made a very beautiful silhouette I use for fever, it is very nice, tall, I feel very well moving and well maintained I highly recommend</v>
      </c>
    </row>
    <row r="3871">
      <c r="A3871" s="1">
        <v>5.0</v>
      </c>
      <c r="B3871" s="1" t="s">
        <v>3834</v>
      </c>
      <c r="C3871" t="str">
        <f>IFERROR(__xludf.DUMMYFUNCTION("GOOGLETRANSLATE(B3871, ""fr"", ""en"")"),"simple but very comfortable to wear a very simplistic but shows enough as it is for everyday wear is comfortable to wear and fits very simple outfit but pretty!")</f>
        <v>simple but very comfortable to wear a very simplistic but shows enough as it is for everyday wear is comfortable to wear and fits very simple outfit but pretty!</v>
      </c>
    </row>
    <row r="3872">
      <c r="A3872" s="1">
        <v>5.0</v>
      </c>
      <c r="B3872" s="1" t="s">
        <v>3835</v>
      </c>
      <c r="C3872" t="str">
        <f>IFERROR(__xludf.DUMMYFUNCTION("GOOGLETRANSLATE(B3872, ""fr"", ""en"")"),"Great Value These jackets are of good quality, with very nice colors. However if you are looking for good support, go your way, they are not made for ça.Au waist, I will say that M would go 85B / C 90B / C.")</f>
        <v>Great Value These jackets are of good quality, with very nice colors. However if you are looking for good support, go your way, they are not made for ça.Au waist, I will say that M would go 85B / C 90B / C.</v>
      </c>
    </row>
    <row r="3873">
      <c r="A3873" s="1">
        <v>5.0</v>
      </c>
      <c r="B3873" s="1" t="s">
        <v>3836</v>
      </c>
      <c r="C3873" t="str">
        <f>IFERROR(__xludf.DUMMYFUNCTION("GOOGLETRANSLATE(B3873, ""fr"", ""en"")"),"HP cartridge lot I bought this lot of HP ink cartridges for my printer. They are similar to the ones I usually buy in supermarket unless I paid this lot a lot cheaper. The cartridges are really consistent and identical. No problem after 15 days of use. I "&amp;"recommend. Feel free to click if you find my review helpful.")</f>
        <v>HP cartridge lot I bought this lot of HP ink cartridges for my printer. They are similar to the ones I usually buy in supermarket unless I paid this lot a lot cheaper. The cartridges are really consistent and identical. No problem after 15 days of use. I recommend. Feel free to click if you find my review helpful.</v>
      </c>
    </row>
    <row r="3874">
      <c r="A3874" s="1">
        <v>5.0</v>
      </c>
      <c r="B3874" s="1" t="s">
        <v>1288</v>
      </c>
      <c r="C3874" t="str">
        <f>IFERROR(__xludf.DUMMYFUNCTION("GOOGLETRANSLATE(B3874, ""fr"", ""en"")"),"perfect perfect")</f>
        <v>perfect perfect</v>
      </c>
    </row>
    <row r="3875">
      <c r="A3875" s="1">
        <v>5.0</v>
      </c>
      <c r="B3875" s="1" t="s">
        <v>3837</v>
      </c>
      <c r="C3875" t="str">
        <f>IFERROR(__xludf.DUMMYFUNCTION("GOOGLETRANSLATE(B3875, ""fr"", ""en"")"),"bag handy great product with multiple storage")</f>
        <v>bag handy great product with multiple storage</v>
      </c>
    </row>
    <row r="3876">
      <c r="A3876" s="1">
        <v>5.0</v>
      </c>
      <c r="B3876" s="1" t="s">
        <v>3838</v>
      </c>
      <c r="C3876" t="str">
        <f>IFERROR(__xludf.DUMMYFUNCTION("GOOGLETRANSLATE(B3876, ""fr"", ""en"")"),"Pretty little stickers Great Value! My 18 month old son was delighted! By cons they are really small.")</f>
        <v>Pretty little stickers Great Value! My 18 month old son was delighted! By cons they are really small.</v>
      </c>
    </row>
    <row r="3877">
      <c r="A3877" s="1">
        <v>5.0</v>
      </c>
      <c r="B3877" s="1" t="s">
        <v>3839</v>
      </c>
      <c r="C3877" t="str">
        <f>IFERROR(__xludf.DUMMYFUNCTION("GOOGLETRANSLATE(B3877, ""fr"", ""en"")"),"Okay great size but I kept still. Very good quality, very comfortable")</f>
        <v>Okay great size but I kept still. Very good quality, very comfortable</v>
      </c>
    </row>
    <row r="3878">
      <c r="A3878" s="1">
        <v>5.0</v>
      </c>
      <c r="B3878" s="1" t="s">
        <v>3840</v>
      </c>
      <c r="C3878" t="str">
        <f>IFERROR(__xludf.DUMMYFUNCTION("GOOGLETRANSLATE(B3878, ""fr"", ""en"")"),"Comment Twine good for plant suspended.")</f>
        <v>Comment Twine good for plant suspended.</v>
      </c>
    </row>
    <row r="3879">
      <c r="A3879" s="1">
        <v>5.0</v>
      </c>
      <c r="B3879" s="1" t="s">
        <v>3841</v>
      </c>
      <c r="C3879" t="str">
        <f>IFERROR(__xludf.DUMMYFUNCTION("GOOGLETRANSLATE(B3879, ""fr"", ""en"")"),"Idea for a gift I bought this toaster to offer it, and the person is very happy. Convenient, fast, design and received overnight.")</f>
        <v>Idea for a gift I bought this toaster to offer it, and the person is very happy. Convenient, fast, design and received overnight.</v>
      </c>
    </row>
    <row r="3880">
      <c r="A3880" s="1">
        <v>5.0</v>
      </c>
      <c r="B3880" s="1" t="s">
        <v>3842</v>
      </c>
      <c r="C3880" t="str">
        <f>IFERROR(__xludf.DUMMYFUNCTION("GOOGLETRANSLATE(B3880, ""fr"", ""en"")"),"Tasty lot, perfect for a birthday gift! Lot compliance with the Amazon description, no surprises. The bottles are very strong, the opening is large enough to be comfortable when filling the milk and naked cleaning. The color holds well, no problem even wa"&amp;"sh in the dishwasher. Pack complete, it plaiera much as a birth gift.")</f>
        <v>Tasty lot, perfect for a birthday gift! Lot compliance with the Amazon description, no surprises. The bottles are very strong, the opening is large enough to be comfortable when filling the milk and naked cleaning. The color holds well, no problem even wash in the dishwasher. Pack complete, it plaiera much as a birth gift.</v>
      </c>
    </row>
    <row r="3881">
      <c r="A3881" s="1">
        <v>5.0</v>
      </c>
      <c r="B3881" s="1" t="s">
        <v>3843</v>
      </c>
      <c r="C3881" t="str">
        <f>IFERROR(__xludf.DUMMYFUNCTION("GOOGLETRANSLATE(B3881, ""fr"", ""en"")"),"A beautiful accessed automatic watch. How to provide automatic arms without leaving a will? In moving towards these SEIKO 5. A proven mechanism, certainly not made in Japan, but that poses no particular problems. The accuracy is not evil, far from Swiss s"&amp;"tandards, but it loses or takes 15 seconds a day. So a little time setting 1 or twice a week and that's it. Moreover, what impresses me the most is the quality of the finishes. For that price I find baffling.")</f>
        <v>A beautiful accessed automatic watch. How to provide automatic arms without leaving a will? In moving towards these SEIKO 5. A proven mechanism, certainly not made in Japan, but that poses no particular problems. The accuracy is not evil, far from Swiss standards, but it loses or takes 15 seconds a day. So a little time setting 1 or twice a week and that's it. Moreover, what impresses me the most is the quality of the finishes. For that price I find baffling.</v>
      </c>
    </row>
    <row r="3882">
      <c r="A3882" s="1">
        <v>2.0</v>
      </c>
      <c r="B3882" s="1" t="s">
        <v>3844</v>
      </c>
      <c r="C3882" t="str">
        <f>IFERROR(__xludf.DUMMYFUNCTION("GOOGLETRANSLATE(B3882, ""fr"", ""en"")"),"The broken clip attaches is not resistant at all, broken for the second day. Disappointed")</f>
        <v>The broken clip attaches is not resistant at all, broken for the second day. Disappointed</v>
      </c>
    </row>
    <row r="3883">
      <c r="A3883" s="1">
        <v>1.0</v>
      </c>
      <c r="B3883" s="1" t="s">
        <v>3845</v>
      </c>
      <c r="C3883" t="str">
        <f>IFERROR(__xludf.DUMMYFUNCTION("GOOGLETRANSLATE(B3883, ""fr"", ""en"")"),"very mixed ... the loop air quality but the belt is extremely thin, incompatible with the addition of some heavy equipment ..")</f>
        <v>very mixed ... the loop air quality but the belt is extremely thin, incompatible with the addition of some heavy equipment ..</v>
      </c>
    </row>
    <row r="3884">
      <c r="A3884" s="1">
        <v>1.0</v>
      </c>
      <c r="B3884" s="1" t="s">
        <v>3846</v>
      </c>
      <c r="C3884" t="str">
        <f>IFERROR(__xludf.DUMMYFUNCTION("GOOGLETRANSLATE(B3884, ""fr"", ""en"")"),"The poor quality vest after some washing dégrage")</f>
        <v>The poor quality vest after some washing dégrage</v>
      </c>
    </row>
    <row r="3885">
      <c r="A3885" s="1">
        <v>3.0</v>
      </c>
      <c r="B3885" s="1" t="s">
        <v>3847</v>
      </c>
      <c r="C3885" t="str">
        <f>IFERROR(__xludf.DUMMYFUNCTION("GOOGLETRANSLATE(B3885, ""fr"", ""en"")"),"Very utilt Pencil useful, however we must press hard for the paint every time to get the paint")</f>
        <v>Very utilt Pencil useful, however we must press hard for the paint every time to get the paint</v>
      </c>
    </row>
    <row r="3886">
      <c r="A3886" s="1">
        <v>4.0</v>
      </c>
      <c r="B3886" s="1" t="s">
        <v>3848</v>
      </c>
      <c r="C3886" t="str">
        <f>IFERROR(__xludf.DUMMYFUNCTION("GOOGLETRANSLATE(B3886, ""fr"", ""en"")"),"To confirm ! Hello, the product is consistent with the description, except for the case Ample storage is not at all the same !!! would it be possible to have one with the mark above is described in the picture?")</f>
        <v>To confirm ! Hello, the product is consistent with the description, except for the case Ample storage is not at all the same !!! would it be possible to have one with the mark above is described in the picture?</v>
      </c>
    </row>
    <row r="3887">
      <c r="A3887" s="1">
        <v>4.0</v>
      </c>
      <c r="B3887" s="1" t="s">
        <v>3849</v>
      </c>
      <c r="C3887" t="str">
        <f>IFERROR(__xludf.DUMMYFUNCTION("GOOGLETRANSLATE(B3887, ""fr"", ""en"")"),"Good headphones but ... The Bluetooth headset has good sound and clear but no more, lacks a little low, autonomy is average (2 to 3 hours max) but more damage to me is that we can not use the headset left without right, my old ear dodocool possible.")</f>
        <v>Good headphones but ... The Bluetooth headset has good sound and clear but no more, lacks a little low, autonomy is average (2 to 3 hours max) but more damage to me is that we can not use the headset left without right, my old ear dodocool possible.</v>
      </c>
    </row>
    <row r="3888">
      <c r="A3888" s="1">
        <v>4.0</v>
      </c>
      <c r="B3888" s="1" t="s">
        <v>3850</v>
      </c>
      <c r="C3888" t="str">
        <f>IFERROR(__xludf.DUMMYFUNCTION("GOOGLETRANSLATE(B3888, ""fr"", ""en"")"),"Quality item Bel quality article, nice color, comfortable, easy to maintain. Just a caveat: despite the well respected washing instructions, tendency to pill.")</f>
        <v>Quality item Bel quality article, nice color, comfortable, easy to maintain. Just a caveat: despite the well respected washing instructions, tendency to pill.</v>
      </c>
    </row>
    <row r="3889">
      <c r="A3889" s="1">
        <v>4.0</v>
      </c>
      <c r="B3889" s="1" t="s">
        <v>3851</v>
      </c>
      <c r="C3889" t="str">
        <f>IFERROR(__xludf.DUMMYFUNCTION("GOOGLETRANSLATE(B3889, ""fr"", ""en"")"),"Puma socks I waited a bit before receiving them but they were in line with what I expected and I did not have any surprises.")</f>
        <v>Puma socks I waited a bit before receiving them but they were in line with what I expected and I did not have any surprises.</v>
      </c>
    </row>
    <row r="3890">
      <c r="A3890" s="1">
        <v>5.0</v>
      </c>
      <c r="B3890" s="1" t="s">
        <v>3852</v>
      </c>
      <c r="C3890" t="str">
        <f>IFERROR(__xludf.DUMMYFUNCTION("GOOGLETRANSLATE(B3890, ""fr"", ""en"")"),"Hyper comfortable Very good value for money. This is my second pair. Wears out after a year and hundreds of km.")</f>
        <v>Hyper comfortable Very good value for money. This is my second pair. Wears out after a year and hundreds of km.</v>
      </c>
    </row>
    <row r="3891">
      <c r="A3891" s="1">
        <v>5.0</v>
      </c>
      <c r="B3891" s="1" t="s">
        <v>3853</v>
      </c>
      <c r="C3891" t="str">
        <f>IFERROR(__xludf.DUMMYFUNCTION("GOOGLETRANSLATE(B3891, ""fr"", ""en"")"),"Comfort Very comfortable, I have the impression of being in slippers.")</f>
        <v>Comfort Very comfortable, I have the impression of being in slippers.</v>
      </c>
    </row>
    <row r="3892">
      <c r="A3892" s="1">
        <v>5.0</v>
      </c>
      <c r="B3892" s="1" t="s">
        <v>3854</v>
      </c>
      <c r="C3892" t="str">
        <f>IFERROR(__xludf.DUMMYFUNCTION("GOOGLETRANSLATE(B3892, ""fr"", ""en"")"),"PERFECT Works also in the cellar and next to my apartment two doors closed with headphones AND WITHOUT PHONE POCKET lA HEADPHONES WORK VERY WELL.")</f>
        <v>PERFECT Works also in the cellar and next to my apartment two doors closed with headphones AND WITHOUT PHONE POCKET lA HEADPHONES WORK VERY WELL.</v>
      </c>
    </row>
    <row r="3893">
      <c r="A3893" s="1">
        <v>5.0</v>
      </c>
      <c r="B3893" s="1" t="s">
        <v>3855</v>
      </c>
      <c r="C3893" t="str">
        <f>IFERROR(__xludf.DUMMYFUNCTION("GOOGLETRANSLATE(B3893, ""fr"", ""en"")"),"Good product Good product that seems good and more is pretty.")</f>
        <v>Good product Good product that seems good and more is pretty.</v>
      </c>
    </row>
    <row r="3894">
      <c r="A3894" s="1">
        <v>5.0</v>
      </c>
      <c r="B3894" s="1" t="s">
        <v>3856</v>
      </c>
      <c r="C3894" t="str">
        <f>IFERROR(__xludf.DUMMYFUNCTION("GOOGLETRANSLATE(B3894, ""fr"", ""en"")"),"Super Super collar is included vvment Christmas hihi")</f>
        <v>Super Super collar is included vvment Christmas hihi</v>
      </c>
    </row>
    <row r="3895">
      <c r="A3895" s="1">
        <v>5.0</v>
      </c>
      <c r="B3895" s="1" t="s">
        <v>3857</v>
      </c>
      <c r="C3895" t="str">
        <f>IFERROR(__xludf.DUMMYFUNCTION("GOOGLETRANSLATE(B3895, ""fr"", ""en"")"),"Superb! Puma, a brand that I love because it take a long time, not just 2 years as Nxxx! She is really pretty, the red button at the back gives it a Whou effect. The cushioned heel level is top thanks to this red matter. In front of the sole is very thin,"&amp;" ideal for car drivers in grass Excellent touched pedals, it all feels. The finish is exemplary, the only complaint is that the shoe is fairly thin before, and I have the broad feet. In short pump on top not so expensive that eventually ca.")</f>
        <v>Superb! Puma, a brand that I love because it take a long time, not just 2 years as Nxxx! She is really pretty, the red button at the back gives it a Whou effect. The cushioned heel level is top thanks to this red matter. In front of the sole is very thin, ideal for car drivers in grass Excellent touched pedals, it all feels. The finish is exemplary, the only complaint is that the shoe is fairly thin before, and I have the broad feet. In short pump on top not so expensive that eventually ca.</v>
      </c>
    </row>
    <row r="3896">
      <c r="A3896" s="1">
        <v>5.0</v>
      </c>
      <c r="B3896" s="1" t="s">
        <v>3858</v>
      </c>
      <c r="C3896" t="str">
        <f>IFERROR(__xludf.DUMMYFUNCTION("GOOGLETRANSLATE(B3896, ""fr"", ""en"")"),"beautiful watch beautiful watch sports, I love Suunto, and cheap. 10 years ago it cost twice. I saw a coupon here for just 100 euros and some ... I paid more but no regrets. Suunto the problem was to change the battery, problem solved, we can not get any "&amp;"easier and the battery less than 2 euros to change oneself.")</f>
        <v>beautiful watch beautiful watch sports, I love Suunto, and cheap. 10 years ago it cost twice. I saw a coupon here for just 100 euros and some ... I paid more but no regrets. Suunto the problem was to change the battery, problem solved, we can not get any easier and the battery less than 2 euros to change oneself.</v>
      </c>
    </row>
    <row r="3897">
      <c r="A3897" s="1">
        <v>5.0</v>
      </c>
      <c r="B3897" s="1" t="s">
        <v>3859</v>
      </c>
      <c r="C3897" t="str">
        <f>IFERROR(__xludf.DUMMYFUNCTION("GOOGLETRANSLATE(B3897, ""fr"", ""en"")"),"100% cotton Pleasantly surprised by this 100% cotton pants, I expected much worse given the price. It is incredibly soft but is still well within the wide elastic greenhouse does not belly and size is good. Very happy.")</f>
        <v>100% cotton Pleasantly surprised by this 100% cotton pants, I expected much worse given the price. It is incredibly soft but is still well within the wide elastic greenhouse does not belly and size is good. Very happy.</v>
      </c>
    </row>
    <row r="3898">
      <c r="A3898" s="1">
        <v>5.0</v>
      </c>
      <c r="B3898" s="1" t="s">
        <v>3860</v>
      </c>
      <c r="C3898" t="str">
        <f>IFERROR(__xludf.DUMMYFUNCTION("GOOGLETRANSLATE(B3898, ""fr"", ""en"")"),"Well take a size up")</f>
        <v>Well take a size up</v>
      </c>
    </row>
    <row r="3899">
      <c r="A3899" s="1">
        <v>5.0</v>
      </c>
      <c r="B3899" s="1" t="s">
        <v>3861</v>
      </c>
      <c r="C3899" t="str">
        <f>IFERROR(__xludf.DUMMYFUNCTION("GOOGLETRANSLATE(B3899, ""fr"", ""en"")"),"of impeccable quality dialogue and even to record a musical instrument")</f>
        <v>of impeccable quality dialogue and even to record a musical instrument</v>
      </c>
    </row>
    <row r="3900">
      <c r="A3900" s="1">
        <v>5.0</v>
      </c>
      <c r="B3900" s="1" t="s">
        <v>1687</v>
      </c>
      <c r="C3900" t="str">
        <f>IFERROR(__xludf.DUMMYFUNCTION("GOOGLETRANSLATE(B3900, ""fr"", ""en"")"),"Super Super")</f>
        <v>Super Super</v>
      </c>
    </row>
    <row r="3901">
      <c r="A3901" s="1">
        <v>5.0</v>
      </c>
      <c r="B3901" s="1" t="s">
        <v>3862</v>
      </c>
      <c r="C3901" t="str">
        <f>IFERROR(__xludf.DUMMYFUNCTION("GOOGLETRANSLATE(B3901, ""fr"", ""en"")"),"Beautiful design Fast bit noisy, pretty")</f>
        <v>Beautiful design Fast bit noisy, pretty</v>
      </c>
    </row>
    <row r="3902">
      <c r="A3902" s="1">
        <v>5.0</v>
      </c>
      <c r="B3902" s="1" t="s">
        <v>3863</v>
      </c>
      <c r="C3902" t="str">
        <f>IFERROR(__xludf.DUMMYFUNCTION("GOOGLETRANSLATE(B3902, ""fr"", ""en"")"),"Very satisfied Used by a teenager, this headset the delights. Indeed sound rendering and design are worthy of a great brand !! The headphones fall into a box that in addition to protecting the recharge. They can adapt, thanks to several tips, the whole fa"&amp;"mily. The association bluetooth is very easy, tactile buttons are intuitive to use volume and changes in beaches on both headphones. One can also use it to call the record is largely satisfactory.")</f>
        <v>Very satisfied Used by a teenager, this headset the delights. Indeed sound rendering and design are worthy of a great brand !! The headphones fall into a box that in addition to protecting the recharge. They can adapt, thanks to several tips, the whole family. The association bluetooth is very easy, tactile buttons are intuitive to use volume and changes in beaches on both headphones. One can also use it to call the record is largely satisfactory.</v>
      </c>
    </row>
    <row r="3903">
      <c r="A3903" s="1">
        <v>5.0</v>
      </c>
      <c r="B3903" s="1" t="s">
        <v>3864</v>
      </c>
      <c r="C3903" t="str">
        <f>IFERROR(__xludf.DUMMYFUNCTION("GOOGLETRANSLATE(B3903, ""fr"", ""en"")"),"Very well ! Use for my revisions, these highlighters are very practical, clear (the color is not too dark) Easy to use, I recommend!")</f>
        <v>Very well ! Use for my revisions, these highlighters are very practical, clear (the color is not too dark) Easy to use, I recommend!</v>
      </c>
    </row>
    <row r="3904">
      <c r="A3904" s="1">
        <v>5.0</v>
      </c>
      <c r="B3904" s="1" t="s">
        <v>3865</v>
      </c>
      <c r="C3904" t="str">
        <f>IFERROR(__xludf.DUMMYFUNCTION("GOOGLETRANSLATE(B3904, ""fr"", ""en"")"),"Perfect Perfect size. Height as the slightly higher picture ankle! Very good qualities. I recommend!")</f>
        <v>Perfect Perfect size. Height as the slightly higher picture ankle! Very good qualities. I recommend!</v>
      </c>
    </row>
    <row r="3905">
      <c r="A3905" s="1">
        <v>2.0</v>
      </c>
      <c r="B3905" s="1" t="s">
        <v>3866</v>
      </c>
      <c r="C3905" t="str">
        <f>IFERROR(__xludf.DUMMYFUNCTION("GOOGLETRANSLATE(B3905, ""fr"", ""en"")"),"Quality ed. Bad quality.")</f>
        <v>Quality ed. Bad quality.</v>
      </c>
    </row>
    <row r="3906">
      <c r="A3906" s="1">
        <v>1.0</v>
      </c>
      <c r="B3906" s="1" t="s">
        <v>3867</v>
      </c>
      <c r="C3906" t="str">
        <f>IFERROR(__xludf.DUMMYFUNCTION("GOOGLETRANSLATE(B3906, ""fr"", ""en"")"),"That sucks It's been 6 months since I bought JBL Bluetooth listen on amazon. at the beginning it is good but after 6 months on, 40 € lost mouvais quality, never bought JBL listen !!!")</f>
        <v>That sucks It's been 6 months since I bought JBL Bluetooth listen on amazon. at the beginning it is good but after 6 months on, 40 € lost mouvais quality, never bought JBL listen !!!</v>
      </c>
    </row>
    <row r="3907">
      <c r="A3907" s="1">
        <v>3.0</v>
      </c>
      <c r="B3907" s="1" t="s">
        <v>3868</v>
      </c>
      <c r="C3907" t="str">
        <f>IFERROR(__xludf.DUMMYFUNCTION("GOOGLETRANSLATE(B3907, ""fr"", ""en"")"),"Bcp too small. Disappointed pant that's too small I play 46 and I took the larger size. Back Free by cons but here 2nd pants received sick of return. And the average quality textiles. At this price we can find better.")</f>
        <v>Bcp too small. Disappointed pant that's too small I play 46 and I took the larger size. Back Free by cons but here 2nd pants received sick of return. And the average quality textiles. At this price we can find better.</v>
      </c>
    </row>
    <row r="3908">
      <c r="A3908" s="1">
        <v>3.0</v>
      </c>
      <c r="B3908" s="1" t="s">
        <v>3869</v>
      </c>
      <c r="C3908" t="str">
        <f>IFERROR(__xludf.DUMMYFUNCTION("GOOGLETRANSLATE(B3908, ""fr"", ""en"")"),"Bad multiple pockets and well agancées. ample capacity. The internal dimensions allow a place there (several) spiral notebook A4 smoothly. I am less optimistic in terms of the fabric. It is thick and very resistant but a faded brown with sometimes ""mottl"&amp;"ing"" washing. Furthermore the closure system pockets with magnet is not very convenient. The magnets are feeble and you really properly position the flaps so that they aimentent. 2 small inner pockets (such as mobile / badge) - 1 grd zipped inner bag 1 g"&amp;"rd zipped pocket ext - 2 small pockets ext flap magnetized. My advice for a vintage style-casual.")</f>
        <v>Bad multiple pockets and well agancées. ample capacity. The internal dimensions allow a place there (several) spiral notebook A4 smoothly. I am less optimistic in terms of the fabric. It is thick and very resistant but a faded brown with sometimes "mottling" washing. Furthermore the closure system pockets with magnet is not very convenient. The magnets are feeble and you really properly position the flaps so that they aimentent. 2 small inner pockets (such as mobile / badge) - 1 grd zipped inner bag 1 grd zipped pocket ext - 2 small pockets ext flap magnetized. My advice for a vintage style-casual.</v>
      </c>
    </row>
    <row r="3909">
      <c r="A3909" s="1">
        <v>4.0</v>
      </c>
      <c r="B3909" s="1" t="s">
        <v>3870</v>
      </c>
      <c r="C3909" t="str">
        <f>IFERROR(__xludf.DUMMYFUNCTION("GOOGLETRANSLATE(B3909, ""fr"", ""en"")"),"Attractive ring. A little dull. So yes the ring is rather pretty, she is as light. The only negative in my eyes: blue in the photo is greatly exaggerated compared to reality. So the real effect gives a very dark appearance. Also note that it is not smooth"&amp;", the border is in print (there is a hollow between two black bars) and personally I do not like. After it is quite nice. Maybe a little expensive for what it is in the end.")</f>
        <v>Attractive ring. A little dull. So yes the ring is rather pretty, she is as light. The only negative in my eyes: blue in the photo is greatly exaggerated compared to reality. So the real effect gives a very dark appearance. Also note that it is not smooth, the border is in print (there is a hollow between two black bars) and personally I do not like. After it is quite nice. Maybe a little expensive for what it is in the end.</v>
      </c>
    </row>
    <row r="3910">
      <c r="A3910" s="1">
        <v>4.0</v>
      </c>
      <c r="B3910" s="1" t="s">
        <v>3871</v>
      </c>
      <c r="C3910" t="str">
        <f>IFERROR(__xludf.DUMMYFUNCTION("GOOGLETRANSLATE(B3910, ""fr"", ""en"")"),"good but beware dimension")</f>
        <v>good but beware dimension</v>
      </c>
    </row>
    <row r="3911">
      <c r="A3911" s="1">
        <v>4.0</v>
      </c>
      <c r="B3911" s="1" t="s">
        <v>3872</v>
      </c>
      <c r="C3911" t="str">
        <f>IFERROR(__xludf.DUMMYFUNCTION("GOOGLETRANSLATE(B3911, ""fr"", ""en"")"),"Very well very well. Good product. Sent quickly. The leather is not of excellent quality, but according to the price.")</f>
        <v>Very well very well. Good product. Sent quickly. The leather is not of excellent quality, but according to the price.</v>
      </c>
    </row>
    <row r="3912">
      <c r="A3912" s="1">
        <v>4.0</v>
      </c>
      <c r="B3912" s="1" t="s">
        <v>3873</v>
      </c>
      <c r="C3912" t="str">
        <f>IFERROR(__xludf.DUMMYFUNCTION("GOOGLETRANSLATE(B3912, ""fr"", ""en"")"),"Easy to change, right impression I chose this bracelet to replace one of my Nokia Steel HR which is provoked me saying silicone allergies and burns. Delighted with my purchase, easy to change and adjust. Now to see the long term ... For now I suggest. Ver"&amp;"y pretty.")</f>
        <v>Easy to change, right impression I chose this bracelet to replace one of my Nokia Steel HR which is provoked me saying silicone allergies and burns. Delighted with my purchase, easy to change and adjust. Now to see the long term ... For now I suggest. Very pretty.</v>
      </c>
    </row>
    <row r="3913">
      <c r="A3913" s="1">
        <v>5.0</v>
      </c>
      <c r="B3913" s="1" t="s">
        <v>3874</v>
      </c>
      <c r="C3913" t="str">
        <f>IFERROR(__xludf.DUMMYFUNCTION("GOOGLETRANSLATE(B3913, ""fr"", ""en"")"),"Corresponds to the description, very simple to install and use this headset is easy to pair and use, it automatically pairs with the small original transmitter housing but also directly with other transmitters (a cell phone for example). The sound can be "&amp;"improved compared to a closed headphones (Music listening via portable) but great for TV, is an excellent compromise for those who want to listen to TV without disturbing those around him, the headset is very lege and quite nice to wear (unlike a closed h"&amp;"elmet), Bluetooth range is very important, even through a wall. Long battery before recharging; remains to reliability in time.")</f>
        <v>Corresponds to the description, very simple to install and use this headset is easy to pair and use, it automatically pairs with the small original transmitter housing but also directly with other transmitters (a cell phone for example). The sound can be improved compared to a closed headphones (Music listening via portable) but great for TV, is an excellent compromise for those who want to listen to TV without disturbing those around him, the headset is very lege and quite nice to wear (unlike a closed helmet), Bluetooth range is very important, even through a wall. Long battery before recharging; remains to reliability in time.</v>
      </c>
    </row>
    <row r="3914">
      <c r="A3914" s="1">
        <v>5.0</v>
      </c>
      <c r="B3914" s="1" t="s">
        <v>3875</v>
      </c>
      <c r="C3914" t="str">
        <f>IFERROR(__xludf.DUMMYFUNCTION("GOOGLETRANSLATE(B3914, ""fr"", ""en"")"),"All product ok ok except purchase I wanted to pay 4 times for free, and it did not work")</f>
        <v>All product ok ok except purchase I wanted to pay 4 times for free, and it did not work</v>
      </c>
    </row>
    <row r="3915">
      <c r="A3915" s="1">
        <v>5.0</v>
      </c>
      <c r="B3915" s="1" t="s">
        <v>3876</v>
      </c>
      <c r="C3915" t="str">
        <f>IFERROR(__xludf.DUMMYFUNCTION("GOOGLETRANSLATE(B3915, ""fr"", ""en"")"),"The atrium design of the ear cups are very accomplished, with the little box that goes with it can be transported anywhere it's really convenient when a sound quality noise is very well insulated!")</f>
        <v>The atrium design of the ear cups are very accomplished, with the little box that goes with it can be transported anywhere it's really convenient when a sound quality noise is very well insulated!</v>
      </c>
    </row>
    <row r="3916">
      <c r="A3916" s="1">
        <v>5.0</v>
      </c>
      <c r="B3916" s="1" t="s">
        <v>3877</v>
      </c>
      <c r="C3916" t="str">
        <f>IFERROR(__xludf.DUMMYFUNCTION("GOOGLETRANSLATE(B3916, ""fr"", ""en"")"),"Very good buy very satisfied with this product, having already replaced once the charger from my SoundLink speaker III by an official charger Bose (despite a pregnant high quality, Bose has the annoying habit like Apple to charge for replacement parts to "&amp;"a excessive price), I decided this time to turn towards a more affordable generic product. The only difference noted with an official charger is in price. The charge is fast and robust connectivity, I recommend.")</f>
        <v>Very good buy very satisfied with this product, having already replaced once the charger from my SoundLink speaker III by an official charger Bose (despite a pregnant high quality, Bose has the annoying habit like Apple to charge for replacement parts to a excessive price), I decided this time to turn towards a more affordable generic product. The only difference noted with an official charger is in price. The charge is fast and robust connectivity, I recommend.</v>
      </c>
    </row>
    <row r="3917">
      <c r="A3917" s="1">
        <v>5.0</v>
      </c>
      <c r="B3917" s="1" t="s">
        <v>3878</v>
      </c>
      <c r="C3917" t="str">
        <f>IFERROR(__xludf.DUMMYFUNCTION("GOOGLETRANSLATE(B3917, ""fr"", ""en"")"),"Recommends Bought a first time, satisfied with the product, very good value, good size")</f>
        <v>Recommends Bought a first time, satisfied with the product, very good value, good size</v>
      </c>
    </row>
    <row r="3918">
      <c r="A3918" s="1">
        <v>5.0</v>
      </c>
      <c r="B3918" s="1" t="s">
        <v>3879</v>
      </c>
      <c r="C3918" t="str">
        <f>IFERROR(__xludf.DUMMYFUNCTION("GOOGLETRANSLATE(B3918, ""fr"", ""en"")"),"RAS Good product. I was looking for a sterilizer that could get into my small microwave is the smallest I've found and it fits perfectly well. Large storage capacity inside. Very easy to use. Sterilizes and serves bottle dry then. I am fully satisfied wit"&amp;"h this product. Good value for money")</f>
        <v>RAS Good product. I was looking for a sterilizer that could get into my small microwave is the smallest I've found and it fits perfectly well. Large storage capacity inside. Very easy to use. Sterilizes and serves bottle dry then. I am fully satisfied with this product. Good value for money</v>
      </c>
    </row>
    <row r="3919">
      <c r="A3919" s="1">
        <v>5.0</v>
      </c>
      <c r="B3919" s="1" t="s">
        <v>3880</v>
      </c>
      <c r="C3919" t="str">
        <f>IFERROR(__xludf.DUMMYFUNCTION("GOOGLETRANSLATE(B3919, ""fr"", ""en"")"),"Convenient and useful. Fairly easy to use. Hold tight clothing if you follow the instructions .... in Spanish! (Even after washing). Quick delivery")</f>
        <v>Convenient and useful. Fairly easy to use. Hold tight clothing if you follow the instructions .... in Spanish! (Even after washing). Quick delivery</v>
      </c>
    </row>
    <row r="3920">
      <c r="A3920" s="1">
        <v>5.0</v>
      </c>
      <c r="B3920" s="1" t="s">
        <v>3881</v>
      </c>
      <c r="C3920" t="str">
        <f>IFERROR(__xludf.DUMMYFUNCTION("GOOGLETRANSLATE(B3920, ""fr"", ""en"")"),"Bracelets bracelets Very nice and good quality. Surprise for the price. I recommend")</f>
        <v>Bracelets bracelets Very nice and good quality. Surprise for the price. I recommend</v>
      </c>
    </row>
    <row r="3921">
      <c r="A3921" s="1">
        <v>5.0</v>
      </c>
      <c r="B3921" s="1" t="s">
        <v>3882</v>
      </c>
      <c r="C3921" t="str">
        <f>IFERROR(__xludf.DUMMYFUNCTION("GOOGLETRANSLATE(B3921, ""fr"", ""en"")"),"At the top for oil stains on fabric seats Worked perfectly for oil stains on fabric seat. I recommend.")</f>
        <v>At the top for oil stains on fabric seats Worked perfectly for oil stains on fabric seat. I recommend.</v>
      </c>
    </row>
    <row r="3922">
      <c r="A3922" s="1">
        <v>5.0</v>
      </c>
      <c r="B3922" s="1" t="s">
        <v>3883</v>
      </c>
      <c r="C3922" t="str">
        <f>IFERROR(__xludf.DUMMYFUNCTION("GOOGLETRANSLATE(B3922, ""fr"", ""en"")"),"Good quality / price ratio Pleasantly surprised by these headphones for the price the sound is really good, with pretty good bass, noise reduction is quite effective and they hold up well (not tested exercising because -that this is not my thing ... but I"&amp;" ^^ not n'pense it moves). Not tested yet but call anyway for the music I am satisfied! (Be careful to turn the headphones 2 by cons before associating the phone if one earphone will work)")</f>
        <v>Good quality / price ratio Pleasantly surprised by these headphones for the price the sound is really good, with pretty good bass, noise reduction is quite effective and they hold up well (not tested exercising because -that this is not my thing ... but I ^^ not n'pense it moves). Not tested yet but call anyway for the music I am satisfied! (Be careful to turn the headphones 2 by cons before associating the phone if one earphone will work)</v>
      </c>
    </row>
    <row r="3923">
      <c r="A3923" s="1">
        <v>5.0</v>
      </c>
      <c r="B3923" s="1" t="s">
        <v>3884</v>
      </c>
      <c r="C3923" t="str">
        <f>IFERROR(__xludf.DUMMYFUNCTION("GOOGLETRANSLATE(B3923, ""fr"", ""en"")"),"Great ! Great product. Light but stick to the feet. Good quanlité price. I think in other color recommended")</f>
        <v>Great ! Great product. Light but stick to the feet. Good quanlité price. I think in other color recommended</v>
      </c>
    </row>
    <row r="3924">
      <c r="A3924" s="1">
        <v>5.0</v>
      </c>
      <c r="B3924" s="1" t="s">
        <v>3885</v>
      </c>
      <c r="C3924" t="str">
        <f>IFERROR(__xludf.DUMMYFUNCTION("GOOGLETRANSLATE(B3924, ""fr"", ""en"")"),"Top Tailoring to my printer related products to its description")</f>
        <v>Top Tailoring to my printer related products to its description</v>
      </c>
    </row>
    <row r="3925">
      <c r="A3925" s="1">
        <v>5.0</v>
      </c>
      <c r="B3925" s="1" t="s">
        <v>3886</v>
      </c>
      <c r="C3925" t="str">
        <f>IFERROR(__xludf.DUMMYFUNCTION("GOOGLETRANSLATE(B3925, ""fr"", ""en"")"),"Nickel Purchased Christmas gift. They are perfect. My niece is delighted with her gift and therefore too")</f>
        <v>Nickel Purchased Christmas gift. They are perfect. My niece is delighted with her gift and therefore too</v>
      </c>
    </row>
    <row r="3926">
      <c r="A3926" s="1">
        <v>5.0</v>
      </c>
      <c r="B3926" s="1" t="s">
        <v>3887</v>
      </c>
      <c r="C3926" t="str">
        <f>IFERROR(__xludf.DUMMYFUNCTION("GOOGLETRANSLATE(B3926, ""fr"", ""en"")"),"Beautiful shoes Super shoes (Salomon) trail with Gripp From .. the only concern is to have your size. For it is complicated with Solomon (Character I took 46 normal size 44/45 so take one size bigger than your normal size")</f>
        <v>Beautiful shoes Super shoes (Salomon) trail with Gripp From .. the only concern is to have your size. For it is complicated with Solomon (Character I took 46 normal size 44/45 so take one size bigger than your normal size</v>
      </c>
    </row>
    <row r="3927">
      <c r="A3927" s="1">
        <v>5.0</v>
      </c>
      <c r="B3927" s="1" t="s">
        <v>3888</v>
      </c>
      <c r="C3927" t="str">
        <f>IFERROR(__xludf.DUMMYFUNCTION("GOOGLETRANSLATE(B3927, ""fr"", ""en"")"),"PERFECT, nothing more. Excellent product, I compared it with my free hand I set my kangoo work, and it is much better to the sound level. better hear me on the SuperTooth, pairing is very easy, short, but good product. Buy the eyes closed. It has a suppor"&amp;"t that rests on the sun visor and the SuperTooth just to magnetize it.")</f>
        <v>PERFECT, nothing more. Excellent product, I compared it with my free hand I set my kangoo work, and it is much better to the sound level. better hear me on the SuperTooth, pairing is very easy, short, but good product. Buy the eyes closed. It has a support that rests on the sun visor and the SuperTooth just to magnetize it.</v>
      </c>
    </row>
    <row r="3928">
      <c r="A3928" s="1">
        <v>2.0</v>
      </c>
      <c r="B3928" s="1" t="s">
        <v>3889</v>
      </c>
      <c r="C3928" t="str">
        <f>IFERROR(__xludf.DUMMYFUNCTION("GOOGLETRANSLATE(B3928, ""fr"", ""en"")"),"Tès disappointed I had read the reviews before buying and I was very disappointed, this faux leather bag is very steep more plastic than faux leather is more heavy even when empty. I had great difficulty in the return form in the corners of the bag had go"&amp;"ne inwards and I had the stuff of paper to restore its normal shape, I hope that when I would remove the paper will remain shaped, the other by, storytelling held it very tight zippers are very difficult to handle in the corners. It's a shame because the "&amp;"organization of this bag is very well done and is a good size. This bag will likely serve me occasionally. Conte Given its material this bag will soften pas.Si not returning is that I have difficulties to move. I really recommend!")</f>
        <v>Tès disappointed I had read the reviews before buying and I was very disappointed, this faux leather bag is very steep more plastic than faux leather is more heavy even when empty. I had great difficulty in the return form in the corners of the bag had gone inwards and I had the stuff of paper to restore its normal shape, I hope that when I would remove the paper will remain shaped, the other by, storytelling held it very tight zippers are very difficult to handle in the corners. It's a shame because the organization of this bag is very well done and is a good size. This bag will likely serve me occasionally. Conte Given its material this bag will soften pas.Si not returning is that I have difficulties to move. I really recommend!</v>
      </c>
    </row>
    <row r="3929">
      <c r="A3929" s="1">
        <v>1.0</v>
      </c>
      <c r="B3929" s="1" t="s">
        <v>3890</v>
      </c>
      <c r="C3929" t="str">
        <f>IFERROR(__xludf.DUMMYFUNCTION("GOOGLETRANSLATE(B3929, ""fr"", ""en"")"),"Too big and too heavy Use to work in a supermarket, too heavy for me over too large")</f>
        <v>Too big and too heavy Use to work in a supermarket, too heavy for me over too large</v>
      </c>
    </row>
    <row r="3930">
      <c r="A3930" s="1">
        <v>1.0</v>
      </c>
      <c r="B3930" s="1" t="s">
        <v>3891</v>
      </c>
      <c r="C3930" t="str">
        <f>IFERROR(__xludf.DUMMYFUNCTION("GOOGLETRANSLATE(B3930, ""fr"", ""en"")"),"UNACCEPTABLE thank you to sell a product, you need a NOTICE IN FRENCH I read neither German nor English AMAZON should control the product I do not know if it's a charger or batteries to replace those it WHY IS T IT IS NOT INCLUDED WITH THE PIANO IS UNACCE"&amp;"PTABLE")</f>
        <v>UNACCEPTABLE thank you to sell a product, you need a NOTICE IN FRENCH I read neither German nor English AMAZON should control the product I do not know if it's a charger or batteries to replace those it WHY IS T IT IS NOT INCLUDED WITH THE PIANO IS UNACCEPTABLE</v>
      </c>
    </row>
    <row r="3931">
      <c r="A3931" s="1">
        <v>3.0</v>
      </c>
      <c r="B3931" s="1" t="s">
        <v>3892</v>
      </c>
      <c r="C3931" t="str">
        <f>IFERROR(__xludf.DUMMYFUNCTION("GOOGLETRANSLATE(B3931, ""fr"", ""en"")"),"Beautiful jewelry fragile, but very fragile, however.")</f>
        <v>Beautiful jewelry fragile, but very fragile, however.</v>
      </c>
    </row>
    <row r="3932">
      <c r="A3932" s="1">
        <v>3.0</v>
      </c>
      <c r="B3932" s="1" t="s">
        <v>3893</v>
      </c>
      <c r="C3932" t="str">
        <f>IFERROR(__xludf.DUMMYFUNCTION("GOOGLETRANSLATE(B3932, ""fr"", ""en"")"),"Power cord too short small kettle handy, still works fine after several months of daily use. No detachable base, then it would have been better than its power cord is longer.")</f>
        <v>Power cord too short small kettle handy, still works fine after several months of daily use. No detachable base, then it would have been better than its power cord is longer.</v>
      </c>
    </row>
    <row r="3933">
      <c r="A3933" s="1">
        <v>4.0</v>
      </c>
      <c r="B3933" s="1" t="s">
        <v>3894</v>
      </c>
      <c r="C3933" t="str">
        <f>IFERROR(__xludf.DUMMYFUNCTION("GOOGLETRANSLATE(B3933, ""fr"", ""en"")"),"Good nickel product for the price. The sound is not the best strong point of this product but remains very correct for the price and it works well without disconnecting and autonomy is deviron 8am and fast charging. 1 / 2h I listen charging for 4 hours. N"&amp;"ickel. The same with better sound I live takes.")</f>
        <v>Good nickel product for the price. The sound is not the best strong point of this product but remains very correct for the price and it works well without disconnecting and autonomy is deviron 8am and fast charging. 1 / 2h I listen charging for 4 hours. Nickel. The same with better sound I live takes.</v>
      </c>
    </row>
    <row r="3934">
      <c r="A3934" s="1">
        <v>4.0</v>
      </c>
      <c r="B3934" s="1" t="s">
        <v>3895</v>
      </c>
      <c r="C3934" t="str">
        <f>IFERROR(__xludf.DUMMYFUNCTION("GOOGLETRANSLATE(B3934, ""fr"", ""en"")"),"Good Good but not 100% effective")</f>
        <v>Good Good but not 100% effective</v>
      </c>
    </row>
    <row r="3935">
      <c r="A3935" s="1">
        <v>4.0</v>
      </c>
      <c r="B3935" s="1" t="s">
        <v>3896</v>
      </c>
      <c r="C3935" t="str">
        <f>IFERROR(__xludf.DUMMYFUNCTION("GOOGLETRANSLATE(B3935, ""fr"", ""en"")"),"Glad Offered by my son for Mother's Day is a wonderful gift and I proudly. If I should give a negative aspect to this necklace is the link of the chain to close that seems a little fragile.")</f>
        <v>Glad Offered by my son for Mother's Day is a wonderful gift and I proudly. If I should give a negative aspect to this necklace is the link of the chain to close that seems a little fragile.</v>
      </c>
    </row>
    <row r="3936">
      <c r="A3936" s="1">
        <v>4.0</v>
      </c>
      <c r="B3936" s="1" t="s">
        <v>3897</v>
      </c>
      <c r="C3936" t="str">
        <f>IFERROR(__xludf.DUMMYFUNCTION("GOOGLETRANSLATE(B3936, ""fr"", ""en"")"),"My feedback is a quick feedback: + style hoody + solid air - delivered stained (model customer back?)! - great size for me, I organized the return of the product due to the approximately 1cm spot at the ventral pockets. Pity")</f>
        <v>My feedback is a quick feedback: + style hoody + solid air - delivered stained (model customer back?)! - great size for me, I organized the return of the product due to the approximately 1cm spot at the ventral pockets. Pity</v>
      </c>
    </row>
    <row r="3937">
      <c r="A3937" s="1">
        <v>5.0</v>
      </c>
      <c r="B3937" s="1" t="s">
        <v>3898</v>
      </c>
      <c r="C3937" t="str">
        <f>IFERROR(__xludf.DUMMYFUNCTION("GOOGLETRANSLATE(B3937, ""fr"", ""en"")"),"Comfortable soft light 1 Merell for me I do not regret my choice I recommend")</f>
        <v>Comfortable soft light 1 Merell for me I do not regret my choice I recommend</v>
      </c>
    </row>
    <row r="3938">
      <c r="A3938" s="1">
        <v>5.0</v>
      </c>
      <c r="B3938" s="1" t="s">
        <v>3899</v>
      </c>
      <c r="C3938" t="str">
        <f>IFERROR(__xludf.DUMMYFUNCTION("GOOGLETRANSLATE(B3938, ""fr"", ""en"")"),"The quality on top! Hello socks great! Of good quality ! Recommended, my son is very happy! Thank you")</f>
        <v>The quality on top! Hello socks great! Of good quality ! Recommended, my son is very happy! Thank you</v>
      </c>
    </row>
    <row r="3939">
      <c r="A3939" s="1">
        <v>5.0</v>
      </c>
      <c r="B3939" s="1" t="s">
        <v>3900</v>
      </c>
      <c r="C3939" t="str">
        <f>IFERROR(__xludf.DUMMYFUNCTION("GOOGLETRANSLATE(B3939, ""fr"", ""en"")"),"My favorite headphones Very good headphones, the sound quality is perfect, in addition, they are comfortable and do not hurt the ears (my ears are hypersensitive and easily damaged, the majority of the headphones to bleed). I also like that the insulation"&amp;" from outside noise is very good, but not complete. I hate the vacuum sound offered by many other headphones that makes you will not hear anything (for me it is an unpleasant sensation, and more dangerous in the street and not very practical in general). "&amp;"I really love these headphones!")</f>
        <v>My favorite headphones Very good headphones, the sound quality is perfect, in addition, they are comfortable and do not hurt the ears (my ears are hypersensitive and easily damaged, the majority of the headphones to bleed). I also like that the insulation from outside noise is very good, but not complete. I hate the vacuum sound offered by many other headphones that makes you will not hear anything (for me it is an unpleasant sensation, and more dangerous in the street and not very practical in general). I really love these headphones!</v>
      </c>
    </row>
    <row r="3940">
      <c r="A3940" s="1">
        <v>5.0</v>
      </c>
      <c r="B3940" s="1" t="s">
        <v>3901</v>
      </c>
      <c r="C3940" t="str">
        <f>IFERROR(__xludf.DUMMYFUNCTION("GOOGLETRANSLATE(B3940, ""fr"", ""en"")"),"A Casio watch as expected Casio respects what is expected of it, ie bear walks and especially the dips in the pool this summer. For style, it's Casio, do not expect a designer watch, but it is seen in the photos section!")</f>
        <v>A Casio watch as expected Casio respects what is expected of it, ie bear walks and especially the dips in the pool this summer. For style, it's Casio, do not expect a designer watch, but it is seen in the photos section!</v>
      </c>
    </row>
    <row r="3941">
      <c r="A3941" s="1">
        <v>5.0</v>
      </c>
      <c r="B3941" s="1" t="s">
        <v>3902</v>
      </c>
      <c r="C3941" t="str">
        <f>IFERROR(__xludf.DUMMYFUNCTION("GOOGLETRANSLATE(B3941, ""fr"", ""en"")"),"Good deal but size small size note it a little small S is rather a 16 but good quality holds up well to washing")</f>
        <v>Good deal but size small size note it a little small S is rather a 16 but good quality holds up well to washing</v>
      </c>
    </row>
    <row r="3942">
      <c r="A3942" s="1">
        <v>5.0</v>
      </c>
      <c r="B3942" s="1" t="s">
        <v>3903</v>
      </c>
      <c r="C3942" t="str">
        <f>IFERROR(__xludf.DUMMYFUNCTION("GOOGLETRANSLATE(B3942, ""fr"", ""en"")"),"Pretty simple and pretty good at first glance, to see the long term. Met my expectations.")</f>
        <v>Pretty simple and pretty good at first glance, to see the long term. Met my expectations.</v>
      </c>
    </row>
    <row r="3943">
      <c r="A3943" s="1">
        <v>5.0</v>
      </c>
      <c r="B3943" s="1" t="s">
        <v>3904</v>
      </c>
      <c r="C3943" t="str">
        <f>IFERROR(__xludf.DUMMYFUNCTION("GOOGLETRANSLATE(B3943, ""fr"", ""en"")"),"Enlighten breakfast! It can find its place almost everywhere because it is really classy with its dashboard to 5 buttons and stainless steel finish / black glass! The buttons (+) and (-) provide a choice of six temperatures marked with blue LEDs. Other bu"&amp;"ttons allow ejection, reheating and finally thawing, automatically followed by the grill. Its opening measures 26cm long and accept thicknesses up to 28mm. Clever: the lever can be raised during operation to check tanning sandwich without interrupting the"&amp;" heating cycle! The crumb tray, discreet, is released with a single tap and can disengage completely. Besides being beautiful, it is fast and grill evenly, a treat!")</f>
        <v>Enlighten breakfast! It can find its place almost everywhere because it is really classy with its dashboard to 5 buttons and stainless steel finish / black glass! The buttons (+) and (-) provide a choice of six temperatures marked with blue LEDs. Other buttons allow ejection, reheating and finally thawing, automatically followed by the grill. Its opening measures 26cm long and accept thicknesses up to 28mm. Clever: the lever can be raised during operation to check tanning sandwich without interrupting the heating cycle! The crumb tray, discreet, is released with a single tap and can disengage completely. Besides being beautiful, it is fast and grill evenly, a treat!</v>
      </c>
    </row>
    <row r="3944">
      <c r="A3944" s="1">
        <v>5.0</v>
      </c>
      <c r="B3944" s="1" t="s">
        <v>3905</v>
      </c>
      <c r="C3944" t="str">
        <f>IFERROR(__xludf.DUMMYFUNCTION("GOOGLETRANSLATE(B3944, ""fr"", ""en"")"),"Good product Good product works great and fits our research, we recommend this product temperatures freeze quickly and easily")</f>
        <v>Good product Good product works great and fits our research, we recommend this product temperatures freeze quickly and easily</v>
      </c>
    </row>
    <row r="3945">
      <c r="A3945" s="1">
        <v>5.0</v>
      </c>
      <c r="B3945" s="1" t="s">
        <v>3906</v>
      </c>
      <c r="C3945" t="str">
        <f>IFERROR(__xludf.DUMMYFUNCTION("GOOGLETRANSLATE(B3945, ""fr"", ""en"")"),"This is super great this is my daughter burst")</f>
        <v>This is super great this is my daughter burst</v>
      </c>
    </row>
    <row r="3946">
      <c r="A3946" s="1">
        <v>5.0</v>
      </c>
      <c r="B3946" s="1" t="s">
        <v>3907</v>
      </c>
      <c r="C3946" t="str">
        <f>IFERROR(__xludf.DUMMYFUNCTION("GOOGLETRANSLATE(B3946, ""fr"", ""en"")"),"it's really great as the picture beautiful gift beautiful magnificent piece")</f>
        <v>it's really great as the picture beautiful gift beautiful magnificent piece</v>
      </c>
    </row>
    <row r="3947">
      <c r="A3947" s="1">
        <v>5.0</v>
      </c>
      <c r="B3947" s="1" t="s">
        <v>3908</v>
      </c>
      <c r="C3947" t="str">
        <f>IFERROR(__xludf.DUMMYFUNCTION("GOOGLETRANSLATE(B3947, ""fr"", ""en"")"),"super super basketball, beautiful and very comfortable")</f>
        <v>super super basketball, beautiful and very comfortable</v>
      </c>
    </row>
    <row r="3948">
      <c r="A3948" s="1">
        <v>5.0</v>
      </c>
      <c r="B3948" s="1" t="s">
        <v>3909</v>
      </c>
      <c r="C3948" t="str">
        <f>IFERROR(__xludf.DUMMYFUNCTION("GOOGLETRANSLATE(B3948, ""fr"", ""en"")"),"complies with photos, appropriate size and very good overall quality. I am totally satisfied with this product. Meets photos, appropriate size and very good overall quality. Also very comfortable.")</f>
        <v>complies with photos, appropriate size and very good overall quality. I am totally satisfied with this product. Meets photos, appropriate size and very good overall quality. Also very comfortable.</v>
      </c>
    </row>
    <row r="3949">
      <c r="A3949" s="1">
        <v>5.0</v>
      </c>
      <c r="B3949" s="1" t="s">
        <v>3910</v>
      </c>
      <c r="C3949" t="str">
        <f>IFERROR(__xludf.DUMMYFUNCTION("GOOGLETRANSLATE(B3949, ""fr"", ""en"")"),"CHARMS I ordered two charms that I received on 12 December 2017. The deadline was from 18 December. I'm glad these two lovely charms that fit well on my Ninaqueen bracelet. To see how they evolve over time but level value ... Unbeatable!")</f>
        <v>CHARMS I ordered two charms that I received on 12 December 2017. The deadline was from 18 December. I'm glad these two lovely charms that fit well on my Ninaqueen bracelet. To see how they evolve over time but level value ... Unbeatable!</v>
      </c>
    </row>
    <row r="3950">
      <c r="A3950" s="1">
        <v>5.0</v>
      </c>
      <c r="B3950" s="1" t="s">
        <v>3911</v>
      </c>
      <c r="C3950" t="str">
        <f>IFERROR(__xludf.DUMMYFUNCTION("GOOGLETRANSLATE(B3950, ""fr"", ""en"")"),"very good for the first bluetooth earphone is a big surprise. They are connected easily and quickly. The sound quality is very good whatsoever in listening to music or calls, besides the microphone works well also because I have had no negative feedback o"&amp;"n my phone for my calls and touch keys are well the case with the features of the phone. autonomy is good and sufficient especially with the charging box that fits easily into a pocket.")</f>
        <v>very good for the first bluetooth earphone is a big surprise. They are connected easily and quickly. The sound quality is very good whatsoever in listening to music or calls, besides the microphone works well also because I have had no negative feedback on my phone for my calls and touch keys are well the case with the features of the phone. autonomy is good and sufficient especially with the charging box that fits easily into a pocket.</v>
      </c>
    </row>
    <row r="3951">
      <c r="A3951" s="1">
        <v>5.0</v>
      </c>
      <c r="B3951" s="1" t="s">
        <v>3912</v>
      </c>
      <c r="C3951" t="str">
        <f>IFERROR(__xludf.DUMMYFUNCTION("GOOGLETRANSLATE(B3951, ""fr"", ""en"")"),"Compliance and fast delivery Very good quality, annual recharge I do not always find in town")</f>
        <v>Compliance and fast delivery Very good quality, annual recharge I do not always find in town</v>
      </c>
    </row>
    <row r="3952">
      <c r="A3952" s="1">
        <v>2.0</v>
      </c>
      <c r="B3952" s="1" t="s">
        <v>3913</v>
      </c>
      <c r="C3952" t="str">
        <f>IFERROR(__xludf.DUMMYFUNCTION("GOOGLETRANSLATE(B3952, ""fr"", ""en"")"),"The food No heel after some day. Totally uncomfortable. Leaves traces on white socks")</f>
        <v>The food No heel after some day. Totally uncomfortable. Leaves traces on white socks</v>
      </c>
    </row>
    <row r="3953">
      <c r="A3953" s="1">
        <v>1.0</v>
      </c>
      <c r="B3953" s="1" t="s">
        <v>3914</v>
      </c>
      <c r="C3953" t="str">
        <f>IFERROR(__xludf.DUMMYFUNCTION("GOOGLETRANSLATE(B3953, ""fr"", ""en"")"),"To look stunning matching the description. Pity great jacket but controlled by L and XL received. No proposal to exchange share reimbursement.")</f>
        <v>To look stunning matching the description. Pity great jacket but controlled by L and XL received. No proposal to exchange share reimbursement.</v>
      </c>
    </row>
    <row r="3954">
      <c r="A3954" s="1">
        <v>1.0</v>
      </c>
      <c r="B3954" s="1" t="s">
        <v>3915</v>
      </c>
      <c r="C3954" t="str">
        <f>IFERROR(__xludf.DUMMYFUNCTION("GOOGLETRANSLATE(B3954, ""fr"", ""en"")"),"Very good quality 3 € too expensive I really like these pens, but since they are perfectly copied by the competition for half the price, I really wonder if I have done well to buy these charging unaffordable ! I recommend seeing the competition.")</f>
        <v>Very good quality 3 € too expensive I really like these pens, but since they are perfectly copied by the competition for half the price, I really wonder if I have done well to buy these charging unaffordable ! I recommend seeing the competition.</v>
      </c>
    </row>
    <row r="3955">
      <c r="A3955" s="1">
        <v>3.0</v>
      </c>
      <c r="B3955" s="1" t="s">
        <v>3916</v>
      </c>
      <c r="C3955" t="str">
        <f>IFERROR(__xludf.DUMMYFUNCTION("GOOGLETRANSLATE(B3955, ""fr"", ""en"")"),"While doing his job doing his job. By cons, my girls very easily take off and I received a yellow while I expected the white ... where my two stars less.")</f>
        <v>While doing his job doing his job. By cons, my girls very easily take off and I received a yellow while I expected the white ... where my two stars less.</v>
      </c>
    </row>
    <row r="3956">
      <c r="A3956" s="1">
        <v>4.0</v>
      </c>
      <c r="B3956" s="1" t="s">
        <v>3917</v>
      </c>
      <c r="C3956" t="str">
        <f>IFERROR(__xludf.DUMMYFUNCTION("GOOGLETRANSLATE(B3956, ""fr"", ""en"")"),"150ml Essential Oil Diffuser VicTsing Bought for a friend is very satisfied with this purchase, easy operation, compact, this fund very well in the living environment, beautiful, works perfectly.")</f>
        <v>150ml Essential Oil Diffuser VicTsing Bought for a friend is very satisfied with this purchase, easy operation, compact, this fund very well in the living environment, beautiful, works perfectly.</v>
      </c>
    </row>
    <row r="3957">
      <c r="A3957" s="1">
        <v>4.0</v>
      </c>
      <c r="B3957" s="1" t="s">
        <v>3918</v>
      </c>
      <c r="C3957" t="str">
        <f>IFERROR(__xludf.DUMMYFUNCTION("GOOGLETRANSLATE(B3957, ""fr"", ""en"")"),"Very comfortable very comfortable shoes, I put my shoes It's over this break feet")</f>
        <v>Very comfortable very comfortable shoes, I put my shoes It's over this break feet</v>
      </c>
    </row>
    <row r="3958">
      <c r="A3958" s="1">
        <v>4.0</v>
      </c>
      <c r="B3958" s="1" t="s">
        <v>3919</v>
      </c>
      <c r="C3958" t="str">
        <f>IFERROR(__xludf.DUMMYFUNCTION("GOOGLETRANSLATE(B3958, ""fr"", ""en"")"),"Alarm clock made for our 6 year old daughter. It's great but programming the alarm clock so sunrise is not obvious")</f>
        <v>Alarm clock made for our 6 year old daughter. It's great but programming the alarm clock so sunrise is not obvious</v>
      </c>
    </row>
    <row r="3959">
      <c r="A3959" s="1">
        <v>4.0</v>
      </c>
      <c r="B3959" s="1" t="s">
        <v>3920</v>
      </c>
      <c r="C3959" t="str">
        <f>IFERROR(__xludf.DUMMYFUNCTION("GOOGLETRANSLATE(B3959, ""fr"", ""en"")"),"I think quality shoulder bag, but a little small; good quality shoulder")</f>
        <v>I think quality shoulder bag, but a little small; good quality shoulder</v>
      </c>
    </row>
    <row r="3960">
      <c r="A3960" s="1">
        <v>4.0</v>
      </c>
      <c r="B3960" s="1" t="s">
        <v>3921</v>
      </c>
      <c r="C3960" t="str">
        <f>IFERROR(__xludf.DUMMYFUNCTION("GOOGLETRANSLATE(B3960, ""fr"", ""en"")"),"Basketball offset Jamron Very comfortable, slightly offset (that is great for the ""&amp; nbsp; &amp; nbsp small;""!), Take its usual size. I never put basketball, I have them in white, black and beige, and I'm thrilled!")</f>
        <v>Basketball offset Jamron Very comfortable, slightly offset (that is great for the "&amp; nbsp; &amp; nbsp small;"!), Take its usual size. I never put basketball, I have them in white, black and beige, and I'm thrilled!</v>
      </c>
    </row>
    <row r="3961">
      <c r="A3961" s="1">
        <v>5.0</v>
      </c>
      <c r="B3961" s="1" t="s">
        <v>3922</v>
      </c>
      <c r="C3961" t="str">
        <f>IFERROR(__xludf.DUMMYFUNCTION("GOOGLETRANSLATE(B3961, ""fr"", ""en"")"),"Unbeatable value for money purchased rolls for a move. Used with a streamer, no complaints, did the job. Resistant tape, for closing the cartons securely.")</f>
        <v>Unbeatable value for money purchased rolls for a move. Used with a streamer, no complaints, did the job. Resistant tape, for closing the cartons securely.</v>
      </c>
    </row>
    <row r="3962">
      <c r="A3962" s="1">
        <v>5.0</v>
      </c>
      <c r="B3962" s="1" t="s">
        <v>3923</v>
      </c>
      <c r="C3962" t="str">
        <f>IFERROR(__xludf.DUMMYFUNCTION("GOOGLETRANSLATE(B3962, ""fr"", ""en"")"),"Nothing to say for a mere 50 € more than reasonable price these sneakers is the strong air to see over time")</f>
        <v>Nothing to say for a mere 50 € more than reasonable price these sneakers is the strong air to see over time</v>
      </c>
    </row>
    <row r="3963">
      <c r="A3963" s="1">
        <v>5.0</v>
      </c>
      <c r="B3963" s="1" t="s">
        <v>3924</v>
      </c>
      <c r="C3963" t="str">
        <f>IFERROR(__xludf.DUMMYFUNCTION("GOOGLETRANSLATE(B3963, ""fr"", ""en"")"),"awesome Perfect")</f>
        <v>awesome Perfect</v>
      </c>
    </row>
    <row r="3964">
      <c r="A3964" s="1">
        <v>5.0</v>
      </c>
      <c r="B3964" s="1" t="s">
        <v>3925</v>
      </c>
      <c r="C3964" t="str">
        <f>IFERROR(__xludf.DUMMYFUNCTION("GOOGLETRANSLATE(B3964, ""fr"", ""en"")"),"very powerful active insulation, sound quality, comfort and connectivity on top. I tried several helmets active isolation: Bose QC35 &amp; amp; 700, WH-1000XM3 Sony, B &amp; amp; O BeoPlay H9. My analysis will be based in part on those. Let's start with the highl"&amp;"ights: - Exceptional comfort. I do not say this often, but you could almost forget that the door's pads are incredible, and the headband is very well thought out. - Its excellent: - Bass: Very present, they are not as impactful as the H9 (which I found ti"&amp;"ring in the long run), but are still very clear and pleasant. Clearly, this helmet is oriented towards this spectrum, even though, as I will mention just after the mids and highs are not without rest. - Medium: Sweet and detailed, they make perfect voice,"&amp;" in virtually every genre. They perfectly complement the bass on the metal or rock. - Treble: A little behind, they are very warm, detailed, and pleasant to listen to. - Spatial: Excellent. The best I could listen wirelessly. - Connectivity: There are not"&amp;" a myriad of audio codecs like the Sony, but enough to allow a wide use (Product codecs: APTX, APTX low latency, AAC). It is remarkable vis-à-vis the connection stability. I hardly no cuts, and no worries to connect to new equipment. In addition, the fact"&amp;" of integrating this helmet codec APTX low latency permez you to use when watching a movie or playing a video game, with no perceptible delay. Weaknesses: - Insulation: The helmet provides passively a few important insulation. Either there is not the prob"&amp;"lem, the majority of active isolation headphones are not great in this area. However, where is the problem on this helmet is that the active insulation is not very effective. Certe can choose 3 different modes of insulation, allowing to have felt differen"&amp;"t on the ear (pressure), but the isolation is very little impressive, and little below from Bose, Sony, or even Bang &amp; amp ; Olufsen. - Negative point: You can not (to my knowledge after reading the manual and searched the internet) to turn off the headse"&amp;"t without the fold, a little embettant if one wishes to let the headset on one foot. Conclusion: I highly recommend this headset if the active insulation is not your priority. It still will do his stuff on it, but you will Impress by all the positives tha"&amp;"t I mentioned above, making it one of the best wireless headphones market. If the insulation is the main active of your priorities, turn to the Bose 700, which is also an excellent product.")</f>
        <v>very powerful active insulation, sound quality, comfort and connectivity on top. I tried several helmets active isolation: Bose QC35 &amp; amp; 700, WH-1000XM3 Sony, B &amp; amp; O BeoPlay H9. My analysis will be based in part on those. Let's start with the highlights: - Exceptional comfort. I do not say this often, but you could almost forget that the door's pads are incredible, and the headband is very well thought out. - Its excellent: - Bass: Very present, they are not as impactful as the H9 (which I found tiring in the long run), but are still very clear and pleasant. Clearly, this helmet is oriented towards this spectrum, even though, as I will mention just after the mids and highs are not without rest. - Medium: Sweet and detailed, they make perfect voice, in virtually every genre. They perfectly complement the bass on the metal or rock. - Treble: A little behind, they are very warm, detailed, and pleasant to listen to. - Spatial: Excellent. The best I could listen wirelessly. - Connectivity: There are not a myriad of audio codecs like the Sony, but enough to allow a wide use (Product codecs: APTX, APTX low latency, AAC). It is remarkable vis-à-vis the connection stability. I hardly no cuts, and no worries to connect to new equipment. In addition, the fact of integrating this helmet codec APTX low latency permez you to use when watching a movie or playing a video game, with no perceptible delay. Weaknesses: - Insulation: The helmet provides passively a few important insulation. Either there is not the problem, the majority of active isolation headphones are not great in this area. However, where is the problem on this helmet is that the active insulation is not very effective. Certe can choose 3 different modes of insulation, allowing to have felt different on the ear (pressure), but the isolation is very little impressive, and little below from Bose, Sony, or even Bang &amp; amp ; Olufsen. - Negative point: You can not (to my knowledge after reading the manual and searched the internet) to turn off the headset without the fold, a little embettant if one wishes to let the headset on one foot. Conclusion: I highly recommend this headset if the active insulation is not your priority. It still will do his stuff on it, but you will Impress by all the positives that I mentioned above, making it one of the best wireless headphones market. If the insulation is the main active of your priorities, turn to the Bose 700, which is also an excellent product.</v>
      </c>
    </row>
    <row r="3965">
      <c r="A3965" s="1">
        <v>5.0</v>
      </c>
      <c r="B3965" s="1" t="s">
        <v>3926</v>
      </c>
      <c r="C3965" t="str">
        <f>IFERROR(__xludf.DUMMYFUNCTION("GOOGLETRANSLATE(B3965, ""fr"", ""en"")"),"Conforms to my request products conform but still tried, but hey it's only the son that should not be a problem")</f>
        <v>Conforms to my request products conform but still tried, but hey it's only the son that should not be a problem</v>
      </c>
    </row>
    <row r="3966">
      <c r="A3966" s="1">
        <v>5.0</v>
      </c>
      <c r="B3966" s="1" t="s">
        <v>3927</v>
      </c>
      <c r="C3966" t="str">
        <f>IFERROR(__xludf.DUMMYFUNCTION("GOOGLETRANSLATE(B3966, ""fr"", ""en"")"),"Product top !! Good quality product. Delighted with my purchase. Product well packaged. I am satisfied.")</f>
        <v>Product top !! Good quality product. Delighted with my purchase. Product well packaged. I am satisfied.</v>
      </c>
    </row>
    <row r="3967">
      <c r="A3967" s="1">
        <v>5.0</v>
      </c>
      <c r="B3967" s="1" t="s">
        <v>3928</v>
      </c>
      <c r="C3967" t="str">
        <f>IFERROR(__xludf.DUMMYFUNCTION("GOOGLETRANSLATE(B3967, ""fr"", ""en"")"),"It Deeplee BIPE a bit much for my taste. Level of quality and aesthetics is really not bad.")</f>
        <v>It Deeplee BIPE a bit much for my taste. Level of quality and aesthetics is really not bad.</v>
      </c>
    </row>
    <row r="3968">
      <c r="A3968" s="1">
        <v>5.0</v>
      </c>
      <c r="B3968" s="1" t="s">
        <v>3929</v>
      </c>
      <c r="C3968" t="str">
        <f>IFERROR(__xludf.DUMMYFUNCTION("GOOGLETRANSLATE(B3968, ""fr"", ""en"")"),"convenient and quick delivery hiking")</f>
        <v>convenient and quick delivery hiking</v>
      </c>
    </row>
    <row r="3969">
      <c r="A3969" s="1">
        <v>5.0</v>
      </c>
      <c r="B3969" s="1" t="s">
        <v>3930</v>
      </c>
      <c r="C3969" t="str">
        <f>IFERROR(__xludf.DUMMYFUNCTION("GOOGLETRANSLATE(B3969, ""fr"", ""en"")"),"Quality Nothing to say about this product, they are top.")</f>
        <v>Quality Nothing to say about this product, they are top.</v>
      </c>
    </row>
    <row r="3970">
      <c r="A3970" s="1">
        <v>5.0</v>
      </c>
      <c r="B3970" s="1" t="s">
        <v>3931</v>
      </c>
      <c r="C3970" t="str">
        <f>IFERROR(__xludf.DUMMYFUNCTION("GOOGLETRANSLATE(B3970, ""fr"", ""en"")"),"Perfect Perfect.")</f>
        <v>Perfect Perfect.</v>
      </c>
    </row>
    <row r="3971">
      <c r="A3971" s="1">
        <v>5.0</v>
      </c>
      <c r="B3971" s="1" t="s">
        <v>3932</v>
      </c>
      <c r="C3971" t="str">
        <f>IFERROR(__xludf.DUMMYFUNCTION("GOOGLETRANSLATE(B3971, ""fr"", ""en"")"),"Light and friendly These legendary sneakers are lightweight and easy to wear. They carve a big hair (1/2 to 1 size larger in French standard). But it is not a problem, because it allows to have shoes that do not hurt just the tip of the feet, for those wh"&amp;"o walk a lot with. Check-in time as always with Amazon. Only small downside to reproach sometimes depending on the country of manufacture, traces of glue or positioning problem of the tongues are sometimes seen. Long live the true old Converse made in the"&amp;" USA of my youth never encountered this type of problem. But that, as did the pub was before ...... Similarly, my shoes are each came with one of the two laces too short and not the same length as his counterpart. ?? It's painful ! I have found no explana"&amp;"tion for this on the net. But as I have two pairs of shoes, I finally made a real pair with two identical laces from 4 laces.")</f>
        <v>Light and friendly These legendary sneakers are lightweight and easy to wear. They carve a big hair (1/2 to 1 size larger in French standard). But it is not a problem, because it allows to have shoes that do not hurt just the tip of the feet, for those who walk a lot with. Check-in time as always with Amazon. Only small downside to reproach sometimes depending on the country of manufacture, traces of glue or positioning problem of the tongues are sometimes seen. Long live the true old Converse made in the USA of my youth never encountered this type of problem. But that, as did the pub was before ...... Similarly, my shoes are each came with one of the two laces too short and not the same length as his counterpart. ?? It's painful ! I have found no explanation for this on the net. But as I have two pairs of shoes, I finally made a real pair with two identical laces from 4 laces.</v>
      </c>
    </row>
    <row r="3972">
      <c r="A3972" s="1">
        <v>5.0</v>
      </c>
      <c r="B3972" s="1" t="s">
        <v>3933</v>
      </c>
      <c r="C3972" t="str">
        <f>IFERROR(__xludf.DUMMYFUNCTION("GOOGLETRANSLATE(B3972, ""fr"", ""en"")"),"Whiteness, cleanliness! I use Vanish products for years. I know of nothing better to whiten, remove stains and maintain the machine, especially the linen! A must-have at home!")</f>
        <v>Whiteness, cleanliness! I use Vanish products for years. I know of nothing better to whiten, remove stains and maintain the machine, especially the linen! A must-have at home!</v>
      </c>
    </row>
    <row r="3973">
      <c r="A3973" s="1">
        <v>5.0</v>
      </c>
      <c r="B3973" s="1" t="s">
        <v>3934</v>
      </c>
      <c r="C3973" t="str">
        <f>IFERROR(__xludf.DUMMYFUNCTION("GOOGLETRANSLATE(B3973, ""fr"", ""en"")"),"Very good running sneakers Basketball as slippers. J've made a very good choice already made more than 200 km of racing.")</f>
        <v>Very good running sneakers Basketball as slippers. J've made a very good choice already made more than 200 km of racing.</v>
      </c>
    </row>
    <row r="3974">
      <c r="A3974" s="1">
        <v>5.0</v>
      </c>
      <c r="B3974" s="1" t="s">
        <v>3935</v>
      </c>
      <c r="C3974" t="str">
        <f>IFERROR(__xludf.DUMMYFUNCTION("GOOGLETRANSLATE(B3974, ""fr"", ""en"")"),"It's what I expected The packages received corresponds perfectly to what I was looking for: 2 pallets, which are relatively small and do not take so not too square, and 12 brushes, with all sizes. I have not tested them, but at first glance the quality se"&amp;"ems to be the go")</f>
        <v>It's what I expected The packages received corresponds perfectly to what I was looking for: 2 pallets, which are relatively small and do not take so not too square, and 12 brushes, with all sizes. I have not tested them, but at first glance the quality seems to be the go</v>
      </c>
    </row>
    <row r="3975">
      <c r="A3975" s="1">
        <v>5.0</v>
      </c>
      <c r="B3975" s="1" t="s">
        <v>3936</v>
      </c>
      <c r="C3975" t="str">
        <f>IFERROR(__xludf.DUMMYFUNCTION("GOOGLETRANSLATE(B3975, ""fr"", ""en"")"),"Level noise reduction one is right rather pleasantly surprised by the quality of the earpiece. Little more with the metallic finish to connect the headphones cable part! I prefer headphones with volume control. Appearance is also very beautiful, my classm"&amp;"ates love it too, the sound quality is not bad!")</f>
        <v>Level noise reduction one is right rather pleasantly surprised by the quality of the earpiece. Little more with the metallic finish to connect the headphones cable part! I prefer headphones with volume control. Appearance is also very beautiful, my classmates love it too, the sound quality is not bad!</v>
      </c>
    </row>
    <row r="3976">
      <c r="A3976" s="1">
        <v>2.0</v>
      </c>
      <c r="B3976" s="1" t="s">
        <v>3937</v>
      </c>
      <c r="C3976" t="str">
        <f>IFERROR(__xludf.DUMMYFUNCTION("GOOGLETRANSLATE(B3976, ""fr"", ""en"")"),"Disappointed different model because I did not get this model but transparent bottles with strawberries! Off I had chosen for their design ...")</f>
        <v>Disappointed different model because I did not get this model but transparent bottles with strawberries! Off I had chosen for their design ...</v>
      </c>
    </row>
    <row r="3977">
      <c r="A3977" s="1">
        <v>1.0</v>
      </c>
      <c r="B3977" s="1" t="s">
        <v>3938</v>
      </c>
      <c r="C3977" t="str">
        <f>IFERROR(__xludf.DUMMYFUNCTION("GOOGLETRANSLATE(B3977, ""fr"", ""en"")"),"Hello uncomfortable uncomfortable I would get a refund")</f>
        <v>Hello uncomfortable uncomfortable I would get a refund</v>
      </c>
    </row>
    <row r="3978">
      <c r="A3978" s="1">
        <v>3.0</v>
      </c>
      <c r="B3978" s="1" t="s">
        <v>3939</v>
      </c>
      <c r="C3978" t="str">
        <f>IFERROR(__xludf.DUMMYFUNCTION("GOOGLETRANSLATE(B3978, ""fr"", ""en"")"),"Cool Damage to the size it was really beautiful and very nice")</f>
        <v>Cool Damage to the size it was really beautiful and very nice</v>
      </c>
    </row>
    <row r="3979">
      <c r="A3979" s="1">
        <v>3.0</v>
      </c>
      <c r="B3979" s="1" t="s">
        <v>3940</v>
      </c>
      <c r="C3979" t="str">
        <f>IFERROR(__xludf.DUMMYFUNCTION("GOOGLETRANSLATE(B3979, ""fr"", ""en"")"),"Levis classic small size !!!")</f>
        <v>Levis classic small size !!!</v>
      </c>
    </row>
    <row r="3980">
      <c r="A3980" s="1">
        <v>4.0</v>
      </c>
      <c r="B3980" s="1" t="s">
        <v>3941</v>
      </c>
      <c r="C3980" t="str">
        <f>IFERROR(__xludf.DUMMYFUNCTION("GOOGLETRANSLATE(B3980, ""fr"", ""en"")"),"Bag very Praty Ranking")</f>
        <v>Bag very Praty Ranking</v>
      </c>
    </row>
    <row r="3981">
      <c r="A3981" s="1">
        <v>4.0</v>
      </c>
      <c r="B3981" s="1" t="s">
        <v>3942</v>
      </c>
      <c r="C3981" t="str">
        <f>IFERROR(__xludf.DUMMYFUNCTION("GOOGLETRANSLATE(B3981, ""fr"", ""en"")"),"Well Satisfied just strap a little small if not perfect and many pockets")</f>
        <v>Well Satisfied just strap a little small if not perfect and many pockets</v>
      </c>
    </row>
    <row r="3982">
      <c r="A3982" s="1">
        <v>4.0</v>
      </c>
      <c r="B3982" s="1" t="s">
        <v>3943</v>
      </c>
      <c r="C3982" t="str">
        <f>IFERROR(__xludf.DUMMYFUNCTION("GOOGLETRANSLATE(B3982, ""fr"", ""en"")"),"Less dense than the one delivered with the machine very good despite the less thickness than the one delivered with the machine.")</f>
        <v>Less dense than the one delivered with the machine very good despite the less thickness than the one delivered with the machine.</v>
      </c>
    </row>
    <row r="3983">
      <c r="A3983" s="1">
        <v>4.0</v>
      </c>
      <c r="B3983" s="1" t="s">
        <v>3944</v>
      </c>
      <c r="C3983" t="str">
        <f>IFERROR(__xludf.DUMMYFUNCTION("GOOGLETRANSLATE(B3983, ""fr"", ""en"")"),"compliant product line with expectations. by against the size is identical to the non-xl format, which shows the scam on these consumables which are filled only half their capacity for an outrageously high price ...")</f>
        <v>compliant product line with expectations. by against the size is identical to the non-xl format, which shows the scam on these consumables which are filled only half their capacity for an outrageously high price ...</v>
      </c>
    </row>
    <row r="3984">
      <c r="A3984" s="1">
        <v>5.0</v>
      </c>
      <c r="B3984" s="1" t="s">
        <v>3945</v>
      </c>
      <c r="C3984" t="str">
        <f>IFERROR(__xludf.DUMMYFUNCTION("GOOGLETRANSLATE(B3984, ""fr"", ""en"")"),"functional watch. I recommend this solar radio shows and reliable controlée.Matériel used mer.J'ai changed the bracelet to put it a more comfortable nylon strap Locate on internet.Je recommends")</f>
        <v>functional watch. I recommend this solar radio shows and reliable controlée.Matériel used mer.J'ai changed the bracelet to put it a more comfortable nylon strap Locate on internet.Je recommends</v>
      </c>
    </row>
    <row r="3985">
      <c r="A3985" s="1">
        <v>5.0</v>
      </c>
      <c r="B3985" s="1" t="s">
        <v>3946</v>
      </c>
      <c r="C3985" t="str">
        <f>IFERROR(__xludf.DUMMYFUNCTION("GOOGLETRANSLATE(B3985, ""fr"", ""en"")"),"Gift appreciated by the recipient. Gift appreciated by the recipient.")</f>
        <v>Gift appreciated by the recipient. Gift appreciated by the recipient.</v>
      </c>
    </row>
    <row r="3986">
      <c r="A3986" s="1">
        <v>5.0</v>
      </c>
      <c r="B3986" s="1" t="s">
        <v>3947</v>
      </c>
      <c r="C3986" t="str">
        <f>IFERROR(__xludf.DUMMYFUNCTION("GOOGLETRANSLATE(B3986, ""fr"", ""en"")"),"Brush nickel It is perfect as a brush")</f>
        <v>Brush nickel It is perfect as a brush</v>
      </c>
    </row>
    <row r="3987">
      <c r="A3987" s="1">
        <v>5.0</v>
      </c>
      <c r="B3987" s="1" t="s">
        <v>3948</v>
      </c>
      <c r="C3987" t="str">
        <f>IFERROR(__xludf.DUMMYFUNCTION("GOOGLETRANSLATE(B3987, ""fr"", ""en"")"),"Very good quality I'm used to note all my appointments and really great, but I bought a little big")</f>
        <v>Very good quality I'm used to note all my appointments and really great, but I bought a little big</v>
      </c>
    </row>
    <row r="3988">
      <c r="A3988" s="1">
        <v>5.0</v>
      </c>
      <c r="B3988" s="1" t="s">
        <v>3949</v>
      </c>
      <c r="C3988" t="str">
        <f>IFERROR(__xludf.DUMMYFUNCTION("GOOGLETRANSLATE(B3988, ""fr"", ""en"")"),"perfect product for baby Madam uses everyday and with that meets these needs. The system itself is ingenious because it can enboiter or not the bases depending on the amount of product to be sterilized. In less than 10 minutes, everything is clean. To be "&amp;"objective, Madame also clean without the old bottles and teats and she feels a clean difference. Advantage in this Advent that is used for more than 3 months without worry. [If this review helpful to you, please report it below. ]")</f>
        <v>perfect product for baby Madam uses everyday and with that meets these needs. The system itself is ingenious because it can enboiter or not the bases depending on the amount of product to be sterilized. In less than 10 minutes, everything is clean. To be objective, Madame also clean without the old bottles and teats and she feels a clean difference. Advantage in this Advent that is used for more than 3 months without worry. [If this review helpful to you, please report it below. ]</v>
      </c>
    </row>
    <row r="3989">
      <c r="A3989" s="1">
        <v>5.0</v>
      </c>
      <c r="B3989" s="1" t="s">
        <v>3950</v>
      </c>
      <c r="C3989" t="str">
        <f>IFERROR(__xludf.DUMMYFUNCTION("GOOGLETRANSLATE(B3989, ""fr"", ""en"")"),"Top delivery earlier than expected! Parcel very well packed and the product according to the photo I recommend")</f>
        <v>Top delivery earlier than expected! Parcel very well packed and the product according to the photo I recommend</v>
      </c>
    </row>
    <row r="3990">
      <c r="A3990" s="1">
        <v>5.0</v>
      </c>
      <c r="B3990" s="1" t="s">
        <v>3951</v>
      </c>
      <c r="C3990" t="str">
        <f>IFERROR(__xludf.DUMMYFUNCTION("GOOGLETRANSLATE(B3990, ""fr"", ""en"")"),"Kettle great product very good. It heats quickly and helps maintain the water at the desired temperature. Besides, it's nice and a small effect on the table. (Y)")</f>
        <v>Kettle great product very good. It heats quickly and helps maintain the water at the desired temperature. Besides, it's nice and a small effect on the table. (Y)</v>
      </c>
    </row>
    <row r="3991">
      <c r="A3991" s="1">
        <v>5.0</v>
      </c>
      <c r="B3991" s="1" t="s">
        <v>3952</v>
      </c>
      <c r="C3991" t="str">
        <f>IFERROR(__xludf.DUMMYFUNCTION("GOOGLETRANSLATE(B3991, ""fr"", ""en"")"),"Super perfect fit, not used at the size wearable and pretty color")</f>
        <v>Super perfect fit, not used at the size wearable and pretty color</v>
      </c>
    </row>
    <row r="3992">
      <c r="A3992" s="1">
        <v>5.0</v>
      </c>
      <c r="B3992" s="1" t="s">
        <v>3953</v>
      </c>
      <c r="C3992" t="str">
        <f>IFERROR(__xludf.DUMMYFUNCTION("GOOGLETRANSLATE(B3992, ""fr"", ""en"")"),"To offer I offered to a birthday to my niece and she is very happy. Allows you to find countries and pen comes with.")</f>
        <v>To offer I offered to a birthday to my niece and she is very happy. Allows you to find countries and pen comes with.</v>
      </c>
    </row>
    <row r="3993">
      <c r="A3993" s="1">
        <v>5.0</v>
      </c>
      <c r="B3993" s="1" t="s">
        <v>3954</v>
      </c>
      <c r="C3993" t="str">
        <f>IFERROR(__xludf.DUMMYFUNCTION("GOOGLETRANSLATE(B3993, ""fr"", ""en"")"),"Perfect Very expensive anyway, but actually quite appropriate, quality is at the rendezvous. There is good size maintaining it's great!")</f>
        <v>Perfect Very expensive anyway, but actually quite appropriate, quality is at the rendezvous. There is good size maintaining it's great!</v>
      </c>
    </row>
    <row r="3994">
      <c r="A3994" s="1">
        <v>5.0</v>
      </c>
      <c r="B3994" s="1" t="s">
        <v>3955</v>
      </c>
      <c r="C3994" t="str">
        <f>IFERROR(__xludf.DUMMYFUNCTION("GOOGLETRANSLATE(B3994, ""fr"", ""en"")"),"Perfect Practice must for moms Easy to assemble Easy to clean")</f>
        <v>Perfect Practice must for moms Easy to assemble Easy to clean</v>
      </c>
    </row>
    <row r="3995">
      <c r="A3995" s="1">
        <v>5.0</v>
      </c>
      <c r="B3995" s="1" t="s">
        <v>3956</v>
      </c>
      <c r="C3995" t="str">
        <f>IFERROR(__xludf.DUMMYFUNCTION("GOOGLETRANSLATE(B3995, ""fr"", ""en"")"),"The feet in comfort. Not my first Yuedge, hiking, biking and more comfort what to wear, especially in the shoes of safety.")</f>
        <v>The feet in comfort. Not my first Yuedge, hiking, biking and more comfort what to wear, especially in the shoes of safety.</v>
      </c>
    </row>
    <row r="3996">
      <c r="A3996" s="1">
        <v>5.0</v>
      </c>
      <c r="B3996" s="1" t="s">
        <v>3957</v>
      </c>
      <c r="C3996" t="str">
        <f>IFERROR(__xludf.DUMMYFUNCTION("GOOGLETRANSLATE(B3996, ""fr"", ""en"")"),"the sound is cool feel this is very good value? Very comfortable, you can change something if it does not suit you. The sound feels gently and no noise. The color is black, it's classic. And venduer offers me the shell. this is good and this one can prote"&amp;"ct my évouteurs. I admit.")</f>
        <v>the sound is cool feel this is very good value? Very comfortable, you can change something if it does not suit you. The sound feels gently and no noise. The color is black, it's classic. And venduer offers me the shell. this is good and this one can protect my évouteurs. I admit.</v>
      </c>
    </row>
    <row r="3997">
      <c r="A3997" s="1">
        <v>5.0</v>
      </c>
      <c r="B3997" s="1" t="s">
        <v>3958</v>
      </c>
      <c r="C3997" t="str">
        <f>IFERROR(__xludf.DUMMYFUNCTION("GOOGLETRANSLATE(B3997, ""fr"", ""en"")"),"Chic and stylish! Bought to offer, this bracelet is superb. It comes in a box and protected with a plastic film (a removing recess) prepared to offer. Color from purple to blue with varying degrees of transparency and brightness depending on the brightnes"&amp;"s. The bracelet is fine but to solid. It is adjustable with a small chain allowing it to adapt to the wrist (watch still in too large wrist because despite the chain, it would rule out the parties ""&amp; nbsp; rigid &amp; nbsp;"" to go, not sure whether expandab"&amp;"le at will). The ""&amp; nbsp; &amp; nbsp diamonds;"" though false, make their effect. It is chic without too much bling. It can offer women of all ages and make any type of occasion. Very fast delivery with premium, despite the Christmas holidays. You will under"&amp;"stand, I am very satisfied with this bracelet bought on sale flash in addition, a great value! See with time (I will change my review if needed). Hopefully you have been utile☺️")</f>
        <v>Chic and stylish! Bought to offer, this bracelet is superb. It comes in a box and protected with a plastic film (a removing recess) prepared to offer. Color from purple to blue with varying degrees of transparency and brightness depending on the brightness. The bracelet is fine but to solid. It is adjustable with a small chain allowing it to adapt to the wrist (watch still in too large wrist because despite the chain, it would rule out the parties "&amp; nbsp; rigid &amp; nbsp;" to go, not sure whether expandable at will). The "&amp; nbsp; &amp; nbsp diamonds;" though false, make their effect. It is chic without too much bling. It can offer women of all ages and make any type of occasion. Very fast delivery with premium, despite the Christmas holidays. You will understand, I am very satisfied with this bracelet bought on sale flash in addition, a great value! See with time (I will change my review if needed). Hopefully you have been utile☺️</v>
      </c>
    </row>
    <row r="3998">
      <c r="A3998" s="1">
        <v>5.0</v>
      </c>
      <c r="B3998" s="1" t="s">
        <v>3959</v>
      </c>
      <c r="C3998" t="str">
        <f>IFERROR(__xludf.DUMMYFUNCTION("GOOGLETRANSLATE(B3998, ""fr"", ""en"")"),"Nothing to say. Excellent product! Perfectly suited for sports sessions and comfortable. I recommend but watch out for those seeking discreet headphones ... indeed they are much bigger than the Jabra Sport headphones elite (which are already quite signifi"&amp;"cant in terms of diameter), it is no where to biensur a matter of aesthetics but I think that given the price this is information that it is better known. If the sound is perfect ... just what Bose!")</f>
        <v>Nothing to say. Excellent product! Perfectly suited for sports sessions and comfortable. I recommend but watch out for those seeking discreet headphones ... indeed they are much bigger than the Jabra Sport headphones elite (which are already quite significant in terms of diameter), it is no where to biensur a matter of aesthetics but I think that given the price this is information that it is better known. If the sound is perfect ... just what Bose!</v>
      </c>
    </row>
    <row r="3999">
      <c r="A3999" s="1">
        <v>5.0</v>
      </c>
      <c r="B3999" s="1" t="s">
        <v>3960</v>
      </c>
      <c r="C3999" t="str">
        <f>IFERROR(__xludf.DUMMYFUNCTION("GOOGLETRANSLATE(B3999, ""fr"", ""en"")"),"New product well packed fast delivery No pain during long listening Good sound for headphones discounted 15 euros I had an LG can not find the same quality of sound for this price so great helmet rule well produced new well packed")</f>
        <v>New product well packed fast delivery No pain during long listening Good sound for headphones discounted 15 euros I had an LG can not find the same quality of sound for this price so great helmet rule well produced new well packed</v>
      </c>
    </row>
    <row r="4000">
      <c r="A4000" s="1">
        <v>2.0</v>
      </c>
      <c r="B4000" s="1" t="s">
        <v>3961</v>
      </c>
      <c r="C4000" t="str">
        <f>IFERROR(__xludf.DUMMYFUNCTION("GOOGLETRANSLATE(B4000, ""fr"", ""en"")"),"Super Super material to wear with jeans")</f>
        <v>Super Super material to wear with jeans</v>
      </c>
    </row>
    <row r="4001">
      <c r="A4001" s="1">
        <v>1.0</v>
      </c>
      <c r="B4001" s="1" t="s">
        <v>3962</v>
      </c>
      <c r="C4001" t="str">
        <f>IFERROR(__xludf.DUMMYFUNCTION("GOOGLETRANSLATE(B4001, ""fr"", ""en"")"),"Disappointed quality fabric poor.")</f>
        <v>Disappointed quality fabric poor.</v>
      </c>
    </row>
    <row r="4002">
      <c r="A4002" s="1">
        <v>1.0</v>
      </c>
      <c r="B4002" s="1" t="s">
        <v>3963</v>
      </c>
      <c r="C4002" t="str">
        <f>IFERROR(__xludf.DUMMYFUNCTION("GOOGLETRANSLATE(B4002, ""fr"", ""en"")"),"Product Only incomplete bottle three, not four as stated and no brush received !!")</f>
        <v>Product Only incomplete bottle three, not four as stated and no brush received !!</v>
      </c>
    </row>
    <row r="4003">
      <c r="A4003" s="1">
        <v>3.0</v>
      </c>
      <c r="B4003" s="1" t="s">
        <v>3964</v>
      </c>
      <c r="C4003" t="str">
        <f>IFERROR(__xludf.DUMMYFUNCTION("GOOGLETRANSLATE(B4003, ""fr"", ""en"")"),"Slippery I expected more from the fangs brand tong sound nice but as soon as we have wet feet are very slippery, buy out of the pool, and although they are dangerous snowsports feet inside the tong and suddenly we risk the chutte. Be very careful with the"&amp;"se flip flops.")</f>
        <v>Slippery I expected more from the fangs brand tong sound nice but as soon as we have wet feet are very slippery, buy out of the pool, and although they are dangerous snowsports feet inside the tong and suddenly we risk the chutte. Be very careful with these flip flops.</v>
      </c>
    </row>
    <row r="4004">
      <c r="A4004" s="1">
        <v>3.0</v>
      </c>
      <c r="B4004" s="1" t="s">
        <v>3965</v>
      </c>
      <c r="C4004" t="str">
        <f>IFERROR(__xludf.DUMMYFUNCTION("GOOGLETRANSLATE(B4004, ""fr"", ""en"")"),"For the price will ca Small cut on the front of the chassure troublesome but not so serious. A shoe can rigid. Ok delivered in time")</f>
        <v>For the price will ca Small cut on the front of the chassure troublesome but not so serious. A shoe can rigid. Ok delivered in time</v>
      </c>
    </row>
    <row r="4005">
      <c r="A4005" s="1">
        <v>4.0</v>
      </c>
      <c r="B4005" s="1" t="s">
        <v>3966</v>
      </c>
      <c r="C4005" t="str">
        <f>IFERROR(__xludf.DUMMYFUNCTION("GOOGLETRANSLATE(B4005, ""fr"", ""en"")"),"Super super practical bag with lots of pockets. There's nothing wrong over")</f>
        <v>Super super practical bag with lots of pockets. There's nothing wrong over</v>
      </c>
    </row>
    <row r="4006">
      <c r="A4006" s="1">
        <v>4.0</v>
      </c>
      <c r="B4006" s="1" t="s">
        <v>3967</v>
      </c>
      <c r="C4006" t="str">
        <f>IFERROR(__xludf.DUMMYFUNCTION("GOOGLETRANSLATE(B4006, ""fr"", ""en"")"),"Ok Ras")</f>
        <v>Ok Ras</v>
      </c>
    </row>
    <row r="4007">
      <c r="A4007" s="1">
        <v>4.0</v>
      </c>
      <c r="B4007" s="1" t="s">
        <v>3968</v>
      </c>
      <c r="C4007" t="str">
        <f>IFERROR(__xludf.DUMMYFUNCTION("GOOGLETRANSLATE(B4007, ""fr"", ""en"")"),"It is Article")</f>
        <v>It is Article</v>
      </c>
    </row>
    <row r="4008">
      <c r="A4008" s="1">
        <v>4.0</v>
      </c>
      <c r="B4008" s="1" t="s">
        <v>3969</v>
      </c>
      <c r="C4008" t="str">
        <f>IFERROR(__xludf.DUMMYFUNCTION("GOOGLETRANSLATE(B4008, ""fr"", ""en"")"),"fast delivery price good quality flush")</f>
        <v>fast delivery price good quality flush</v>
      </c>
    </row>
    <row r="4009">
      <c r="A4009" s="1">
        <v>5.0</v>
      </c>
      <c r="B4009" s="1" t="s">
        <v>3970</v>
      </c>
      <c r="C4009" t="str">
        <f>IFERROR(__xludf.DUMMYFUNCTION("GOOGLETRANSLATE(B4009, ""fr"", ""en"")"),"Delighted, I recommend these headphones. Earphones received on time, very packaging design, good sound, practical and pleasant to use, perfect, very happy with my purchase, I recommend these headphones")</f>
        <v>Delighted, I recommend these headphones. Earphones received on time, very packaging design, good sound, practical and pleasant to use, perfect, very happy with my purchase, I recommend these headphones</v>
      </c>
    </row>
    <row r="4010">
      <c r="A4010" s="1">
        <v>5.0</v>
      </c>
      <c r="B4010" s="1" t="s">
        <v>3971</v>
      </c>
      <c r="C4010" t="str">
        <f>IFERROR(__xludf.DUMMYFUNCTION("GOOGLETRANSLATE(B4010, ""fr"", ""en"")"),"reliable seller, funky sneakers The seller is reliable and expeditious with the controls. The sneakers arrived in very little time. These are true, original. By cons attention! Models adidas Shoe little. Then choose one or even a size and 1/3 more than wh"&amp;"at you usually strap on to be good.")</f>
        <v>reliable seller, funky sneakers The seller is reliable and expeditious with the controls. The sneakers arrived in very little time. These are true, original. By cons attention! Models adidas Shoe little. Then choose one or even a size and 1/3 more than what you usually strap on to be good.</v>
      </c>
    </row>
    <row r="4011">
      <c r="A4011" s="1">
        <v>5.0</v>
      </c>
      <c r="B4011" s="1" t="s">
        <v>3972</v>
      </c>
      <c r="C4011" t="str">
        <f>IFERROR(__xludf.DUMMYFUNCTION("GOOGLETRANSLATE(B4011, ""fr"", ""en"")"),"Irreplaceable For years I use it with happiness and not just for clothes children. This product is ideal to loosen the laundry. A handful in a bowl, add water a little hot to melt the soap and soak the stained laundry. My little trick I add a drop of lave"&amp;"nder essence. I then use the ""sauce"" in machine and the machine is bursting with good smell of soap that has nothing to do with the chemical smell of disinfectant that is found in some laundry soap from Marseille said!")</f>
        <v>Irreplaceable For years I use it with happiness and not just for clothes children. This product is ideal to loosen the laundry. A handful in a bowl, add water a little hot to melt the soap and soak the stained laundry. My little trick I add a drop of lavender essence. I then use the "sauce" in machine and the machine is bursting with good smell of soap that has nothing to do with the chemical smell of disinfectant that is found in some laundry soap from Marseille said!</v>
      </c>
    </row>
    <row r="4012">
      <c r="A4012" s="1">
        <v>5.0</v>
      </c>
      <c r="B4012" s="1" t="s">
        <v>3973</v>
      </c>
      <c r="C4012" t="str">
        <f>IFERROR(__xludf.DUMMYFUNCTION("GOOGLETRANSLATE(B4012, ""fr"", ""en"")"),"VERY WELL AND NOT bruillant I ordered this aroma diffuser for the office. The delivery arrived quickly and packaged safely. There is next to the diffuser a small measuring cup, a cleaning brush and the power cord packed in the apparatus. The diffuser is m"&amp;"ade of plastic wood effect, very easy to clean. The apparatus operates quietly, has an automatic stop between 1 and 3 hours or a continuous operation. LED recessed change color. I am satisfied and can now make a perfume and a pleasant mood in my office.")</f>
        <v>VERY WELL AND NOT bruillant I ordered this aroma diffuser for the office. The delivery arrived quickly and packaged safely. There is next to the diffuser a small measuring cup, a cleaning brush and the power cord packed in the apparatus. The diffuser is made of plastic wood effect, very easy to clean. The apparatus operates quietly, has an automatic stop between 1 and 3 hours or a continuous operation. LED recessed change color. I am satisfied and can now make a perfume and a pleasant mood in my office.</v>
      </c>
    </row>
    <row r="4013">
      <c r="A4013" s="1">
        <v>5.0</v>
      </c>
      <c r="B4013" s="1" t="s">
        <v>3974</v>
      </c>
      <c r="C4013" t="str">
        <f>IFERROR(__xludf.DUMMYFUNCTION("GOOGLETRANSLATE(B4013, ""fr"", ""en"")"),"casio casio one day ... forever Very nice watch. It is still relevant in 2016! For the price I recommend it! I am not disappointed")</f>
        <v>casio casio one day ... forever Very nice watch. It is still relevant in 2016! For the price I recommend it! I am not disappointed</v>
      </c>
    </row>
    <row r="4014">
      <c r="A4014" s="1">
        <v>5.0</v>
      </c>
      <c r="B4014" s="1" t="s">
        <v>3975</v>
      </c>
      <c r="C4014" t="str">
        <f>IFERROR(__xludf.DUMMYFUNCTION("GOOGLETRANSLATE(B4014, ""fr"", ""en"")"),"Practice Super practical for drying bottles my girlfriend is super happy.")</f>
        <v>Practice Super practical for drying bottles my girlfriend is super happy.</v>
      </c>
    </row>
    <row r="4015">
      <c r="A4015" s="1">
        <v>5.0</v>
      </c>
      <c r="B4015" s="1" t="s">
        <v>3976</v>
      </c>
      <c r="C4015" t="str">
        <f>IFERROR(__xludf.DUMMYFUNCTION("GOOGLETRANSLATE(B4015, ""fr"", ""en"")"),"shows matching my expectations knowing the altitude and the weather changes in the mountains and in foreign countries, this watch is relatively slight adjustments after some trial and error is relatively intuitive.")</f>
        <v>shows matching my expectations knowing the altitude and the weather changes in the mountains and in foreign countries, this watch is relatively slight adjustments after some trial and error is relatively intuitive.</v>
      </c>
    </row>
    <row r="4016">
      <c r="A4016" s="1">
        <v>5.0</v>
      </c>
      <c r="B4016" s="1" t="s">
        <v>3977</v>
      </c>
      <c r="C4016" t="str">
        <f>IFERROR(__xludf.DUMMYFUNCTION("GOOGLETRANSLATE(B4016, ""fr"", ""en"")"),"A buy without hesitation! In the top ! The format is nickel, quality at the rendezvous. I recommend without hesitation. The delivery was also very fast.")</f>
        <v>A buy without hesitation! In the top ! The format is nickel, quality at the rendezvous. I recommend without hesitation. The delivery was also very fast.</v>
      </c>
    </row>
    <row r="4017">
      <c r="A4017" s="1">
        <v>5.0</v>
      </c>
      <c r="B4017" s="1" t="s">
        <v>3978</v>
      </c>
      <c r="C4017" t="str">
        <f>IFERROR(__xludf.DUMMYFUNCTION("GOOGLETRANSLATE(B4017, ""fr"", ""en"")"),"Good sound! Headphones of good quality and with a sound of hell !!! Very useful for passing the call and fits nicely in the ear. The touch of the headset works very well.")</f>
        <v>Good sound! Headphones of good quality and with a sound of hell !!! Very useful for passing the call and fits nicely in the ear. The touch of the headset works very well.</v>
      </c>
    </row>
    <row r="4018">
      <c r="A4018" s="1">
        <v>5.0</v>
      </c>
      <c r="B4018" s="1" t="s">
        <v>3979</v>
      </c>
      <c r="C4018" t="str">
        <f>IFERROR(__xludf.DUMMYFUNCTION("GOOGLETRANSLATE(B4018, ""fr"", ""en"")"),"VERY GOOD PRODUCT really suited to those who do not support the bra classic it is a lot that command to a friend who saw them home, although a small bra comfortable and great price 15.99 three ,,,")</f>
        <v>VERY GOOD PRODUCT really suited to those who do not support the bra classic it is a lot that command to a friend who saw them home, although a small bra comfortable and great price 15.99 three ,,,</v>
      </c>
    </row>
    <row r="4019">
      <c r="A4019" s="1">
        <v>5.0</v>
      </c>
      <c r="B4019" s="1" t="s">
        <v>3980</v>
      </c>
      <c r="C4019" t="str">
        <f>IFERROR(__xludf.DUMMYFUNCTION("GOOGLETRANSLATE(B4019, ""fr"", ""en"")"),"Good quality nickel")</f>
        <v>Good quality nickel</v>
      </c>
    </row>
    <row r="4020">
      <c r="A4020" s="1">
        <v>5.0</v>
      </c>
      <c r="B4020" s="1" t="s">
        <v>3981</v>
      </c>
      <c r="C4020" t="str">
        <f>IFERROR(__xludf.DUMMYFUNCTION("GOOGLETRANSLATE(B4020, ""fr"", ""en"")"),"It happened right product on time, my daughter was very happy, it is good quality and the price is affordable so satisfied!")</f>
        <v>It happened right product on time, my daughter was very happy, it is good quality and the price is affordable so satisfied!</v>
      </c>
    </row>
    <row r="4021">
      <c r="A4021" s="1">
        <v>5.0</v>
      </c>
      <c r="B4021" s="1" t="s">
        <v>1261</v>
      </c>
      <c r="C4021" t="str">
        <f>IFERROR(__xludf.DUMMYFUNCTION("GOOGLETRANSLATE(B4021, ""fr"", ""en"")"),"good good")</f>
        <v>good good</v>
      </c>
    </row>
    <row r="4022">
      <c r="A4022" s="1">
        <v>5.0</v>
      </c>
      <c r="B4022" s="1" t="s">
        <v>3982</v>
      </c>
      <c r="C4022" t="str">
        <f>IFERROR(__xludf.DUMMYFUNCTION("GOOGLETRANSLATE(B4022, ""fr"", ""en"")"),"They are well Good price")</f>
        <v>They are well Good price</v>
      </c>
    </row>
    <row r="4023">
      <c r="A4023" s="1">
        <v>5.0</v>
      </c>
      <c r="B4023" s="1" t="s">
        <v>3983</v>
      </c>
      <c r="C4023" t="str">
        <f>IFERROR(__xludf.DUMMYFUNCTION("GOOGLETRANSLATE(B4023, ""fr"", ""en"")"),"Good quality Good quality")</f>
        <v>Good quality Good quality</v>
      </c>
    </row>
    <row r="4024">
      <c r="A4024" s="1">
        <v>2.0</v>
      </c>
      <c r="B4024" s="1" t="s">
        <v>3984</v>
      </c>
      <c r="C4024" t="str">
        <f>IFERROR(__xludf.DUMMYFUNCTION("GOOGLETRANSLATE(B4024, ""fr"", ""en"")"),"Disappointed by the Amazon I quickly got very disappointed but it was an American decision was not the French Amazon would specify in the comments")</f>
        <v>Disappointed by the Amazon I quickly got very disappointed but it was an American decision was not the French Amazon would specify in the comments</v>
      </c>
    </row>
    <row r="4025">
      <c r="A4025" s="1">
        <v>1.0</v>
      </c>
      <c r="B4025" s="1" t="s">
        <v>3985</v>
      </c>
      <c r="C4025" t="str">
        <f>IFERROR(__xludf.DUMMYFUNCTION("GOOGLETRANSLATE(B4025, ""fr"", ""en"")"),"Carastrophique ... Order to offer ... and surprise !! It lacks a diamond ... So imagine my head when the person opened my gift ... Diamond is not even in the box ..")</f>
        <v>Carastrophique ... Order to offer ... and surprise !! It lacks a diamond ... So imagine my head when the person opened my gift ... Diamond is not even in the box ..</v>
      </c>
    </row>
    <row r="4026">
      <c r="A4026" s="1">
        <v>1.0</v>
      </c>
      <c r="B4026" s="1" t="s">
        <v>3986</v>
      </c>
      <c r="C4026" t="str">
        <f>IFERROR(__xludf.DUMMYFUNCTION("GOOGLETRANSLATE(B4026, ""fr"", ""en"")"),"poor reception to a hitch and 2 minutes after a large hole in the sock bin unreliable direction of everything in life I regret not taking the picture !!")</f>
        <v>poor reception to a hitch and 2 minutes after a large hole in the sock bin unreliable direction of everything in life I regret not taking the picture !!</v>
      </c>
    </row>
    <row r="4027">
      <c r="A4027" s="1">
        <v>3.0</v>
      </c>
      <c r="B4027" s="1" t="s">
        <v>3987</v>
      </c>
      <c r="C4027" t="str">
        <f>IFERROR(__xludf.DUMMYFUNCTION("GOOGLETRANSLATE(B4027, ""fr"", ""en"")"),"Ok a little smaller than what I thought and a close button does not work. Then, how are you doing.")</f>
        <v>Ok a little smaller than what I thought and a close button does not work. Then, how are you doing.</v>
      </c>
    </row>
    <row r="4028">
      <c r="A4028" s="1">
        <v>3.0</v>
      </c>
      <c r="B4028" s="1" t="s">
        <v>3988</v>
      </c>
      <c r="C4028" t="str">
        <f>IFERROR(__xludf.DUMMYFUNCTION("GOOGLETRANSLATE(B4028, ""fr"", ""en"")"),"pretty good headphones I bought these headphones for the job and the plane. To date I have not yet had the opportunity to test in these conditions but I had fun doing some tests. For example with the hood of the lit kitchen ... Noise Reduction off, we hea"&amp;"r, activated noise reduction, we hear more ... It's confusing at first but you get done quickly. In terms of sound quality, not a music lover, I can not really judge, the only point I can make is this: the bass is very present some pieces became somewhat "&amp;"painful and unpleasant. Maybe it takes you to a setting of the equalizer of the phone? To see in time. I will update as and measurement.")</f>
        <v>pretty good headphones I bought these headphones for the job and the plane. To date I have not yet had the opportunity to test in these conditions but I had fun doing some tests. For example with the hood of the lit kitchen ... Noise Reduction off, we hear, activated noise reduction, we hear more ... It's confusing at first but you get done quickly. In terms of sound quality, not a music lover, I can not really judge, the only point I can make is this: the bass is very present some pieces became somewhat painful and unpleasant. Maybe it takes you to a setting of the equalizer of the phone? To see in time. I will update as and measurement.</v>
      </c>
    </row>
    <row r="4029">
      <c r="A4029" s="1">
        <v>4.0</v>
      </c>
      <c r="B4029" s="1" t="s">
        <v>3989</v>
      </c>
      <c r="C4029" t="str">
        <f>IFERROR(__xludf.DUMMYFUNCTION("GOOGLETRANSLATE(B4029, ""fr"", ""en"")"),"Bra I am disappointed")</f>
        <v>Bra I am disappointed</v>
      </c>
    </row>
    <row r="4030">
      <c r="A4030" s="1">
        <v>4.0</v>
      </c>
      <c r="B4030" s="1" t="s">
        <v>3990</v>
      </c>
      <c r="C4030" t="str">
        <f>IFERROR(__xludf.DUMMYFUNCTION("GOOGLETRANSLATE(B4030, ""fr"", ""en"")"),"Wouaaaaaaaaah incredible! This design is so beautiful, the watch is fine short on it no complaints. The screen is amazing, AMO LED is very bright and readable in all circumstances. The wear OS experience is really good and complete and I personally love t"&amp;"his OS. In terms of power has mixed: Select activities is very fluid and launches applications quickly and Select activities it lag a bit but overall it does not bother the user experience. The battery life is mediocre but personally I do not mind: I do n"&amp;"ot wear a watch when I eat once I took the opportunity to load it. If one takes a full day in a short intensive use and with many off option (like Gps ....) and if ¾ of an intensive use during the day. &amp; Nbsp; The charger is steep but I would have preferr"&amp;"ed a great support so that the watch does not slip. The setting is beautiful without being exceptional. The leather strap is the most beautiful I've seen to date (I'm not an expert in the field). I really recommend having a smart Watch and if it is not th"&amp;"at one is a subject which I can not do without.")</f>
        <v>Wouaaaaaaaaah incredible! This design is so beautiful, the watch is fine short on it no complaints. The screen is amazing, AMO LED is very bright and readable in all circumstances. The wear OS experience is really good and complete and I personally love this OS. In terms of power has mixed: Select activities is very fluid and launches applications quickly and Select activities it lag a bit but overall it does not bother the user experience. The battery life is mediocre but personally I do not mind: I do not wear a watch when I eat once I took the opportunity to load it. If one takes a full day in a short intensive use and with many off option (like Gps ....) and if ¾ of an intensive use during the day. &amp; Nbsp; The charger is steep but I would have preferred a great support so that the watch does not slip. The setting is beautiful without being exceptional. The leather strap is the most beautiful I've seen to date (I'm not an expert in the field). I really recommend having a smart Watch and if it is not that one is a subject which I can not do without.</v>
      </c>
    </row>
    <row r="4031">
      <c r="A4031" s="1">
        <v>4.0</v>
      </c>
      <c r="B4031" s="1" t="s">
        <v>3991</v>
      </c>
      <c r="C4031" t="str">
        <f>IFERROR(__xludf.DUMMYFUNCTION("GOOGLETRANSLATE(B4031, ""fr"", ""en"")"),"Russell Hobbs 21671 Kettle retro 70 Very satisfied, nice kettle placed on a work plan is very decorative. Heats very quickly, a plus for the temperature, I do not regret my purchase.")</f>
        <v>Russell Hobbs 21671 Kettle retro 70 Very satisfied, nice kettle placed on a work plan is very decorative. Heats very quickly, a plus for the temperature, I do not regret my purchase.</v>
      </c>
    </row>
    <row r="4032">
      <c r="A4032" s="1">
        <v>4.0</v>
      </c>
      <c r="B4032" s="1" t="s">
        <v>3992</v>
      </c>
      <c r="C4032" t="str">
        <f>IFERROR(__xludf.DUMMYFUNCTION("GOOGLETRANSLATE(B4032, ""fr"", ""en"")"),"Pendant bland I found it very nice for the price but I find the pendant bland color does not appear as the picture and small stones")</f>
        <v>Pendant bland I found it very nice for the price but I find the pendant bland color does not appear as the picture and small stones</v>
      </c>
    </row>
    <row r="4033">
      <c r="A4033" s="1">
        <v>5.0</v>
      </c>
      <c r="B4033" s="1" t="s">
        <v>3993</v>
      </c>
      <c r="C4033" t="str">
        <f>IFERROR(__xludf.DUMMYFUNCTION("GOOGLETRANSLATE(B4033, ""fr"", ""en"")"),"Good funky, commen? ons by the negative ... this seller is more expensive than the site Wincase ... and that's it, super fast, in two days it was home. For devices ... this stuff is just great (and not just for Wincases addicts), they connect to devices ("&amp;"Wincase) without any manipulation, it a great battery life and the housing is provided with a booster battery . Compared to all other copies (I know I have done myself), no worries offset voice / image or a single headset that works. In short,? A is expen"&amp;"sive, but level technology is unparalleled.")</f>
        <v>Good funky, commen? ons by the negative ... this seller is more expensive than the site Wincase ... and that's it, super fast, in two days it was home. For devices ... this stuff is just great (and not just for Wincases addicts), they connect to devices (Wincase) without any manipulation, it a great battery life and the housing is provided with a booster battery . Compared to all other copies (I know I have done myself), no worries offset voice / image or a single headset that works. In short,? A is expensive, but level technology is unparalleled.</v>
      </c>
    </row>
    <row r="4034">
      <c r="A4034" s="1">
        <v>5.0</v>
      </c>
      <c r="B4034" s="1" t="s">
        <v>3994</v>
      </c>
      <c r="C4034" t="str">
        <f>IFERROR(__xludf.DUMMYFUNCTION("GOOGLETRANSLATE(B4034, ""fr"", ""en"")"),"Super Perfect thickened milk! My children are immediately adapted to these nipples and take much better their bottles")</f>
        <v>Super Perfect thickened milk! My children are immediately adapted to these nipples and take much better their bottles</v>
      </c>
    </row>
    <row r="4035">
      <c r="A4035" s="1">
        <v>5.0</v>
      </c>
      <c r="B4035" s="1" t="s">
        <v>3995</v>
      </c>
      <c r="C4035" t="str">
        <f>IFERROR(__xludf.DUMMYFUNCTION("GOOGLETRANSLATE(B4035, ""fr"", ""en"")"),"Very good very practical. Strap solid. strong and beautiful bag. Several pouch. large enough inside. Not disappointed with this purchase is very convenient to travel with room for a computer books.")</f>
        <v>Very good very practical. Strap solid. strong and beautiful bag. Several pouch. large enough inside. Not disappointed with this purchase is very convenient to travel with room for a computer books.</v>
      </c>
    </row>
    <row r="4036">
      <c r="A4036" s="1">
        <v>5.0</v>
      </c>
      <c r="B4036" s="1" t="s">
        <v>3996</v>
      </c>
      <c r="C4036" t="str">
        <f>IFERROR(__xludf.DUMMYFUNCTION("GOOGLETRANSLATE(B4036, ""fr"", ""en"")"),"Product quality well cut wearable color and size M compliant for my 38/40")</f>
        <v>Product quality well cut wearable color and size M compliant for my 38/40</v>
      </c>
    </row>
    <row r="4037">
      <c r="A4037" s="1">
        <v>5.0</v>
      </c>
      <c r="B4037" s="1" t="s">
        <v>3997</v>
      </c>
      <c r="C4037" t="str">
        <f>IFERROR(__xludf.DUMMYFUNCTION("GOOGLETRANSLATE(B4037, ""fr"", ""en"")"),"The birthday gift from my father! I bought this for my father's birthday, the quality of the watch is amazing for its price. The watch is very stylish, size is very good and feels very comfortable when worn. My father loves it.")</f>
        <v>The birthday gift from my father! I bought this for my father's birthday, the quality of the watch is amazing for its price. The watch is very stylish, size is very good and feels very comfortable when worn. My father loves it.</v>
      </c>
    </row>
    <row r="4038">
      <c r="A4038" s="1">
        <v>5.0</v>
      </c>
      <c r="B4038" s="1" t="s">
        <v>3998</v>
      </c>
      <c r="C4038" t="str">
        <f>IFERROR(__xludf.DUMMYFUNCTION("GOOGLETRANSLATE(B4038, ""fr"", ""en"")"),"They are very satisfied awesome")</f>
        <v>They are very satisfied awesome</v>
      </c>
    </row>
    <row r="4039">
      <c r="A4039" s="1">
        <v>5.0</v>
      </c>
      <c r="B4039" s="1" t="s">
        <v>3999</v>
      </c>
      <c r="C4039" t="str">
        <f>IFERROR(__xludf.DUMMYFUNCTION("GOOGLETRANSLATE(B4039, ""fr"", ""en"")"),"Timeless model timeless model. Multigenerational Very comfortable, both vintage and current. Size confirms. Requires a minimum of maintenance. Delighted with this achzt")</f>
        <v>Timeless model timeless model. Multigenerational Very comfortable, both vintage and current. Size confirms. Requires a minimum of maintenance. Delighted with this achzt</v>
      </c>
    </row>
    <row r="4040">
      <c r="A4040" s="1">
        <v>5.0</v>
      </c>
      <c r="B4040" s="1" t="s">
        <v>4000</v>
      </c>
      <c r="C4040" t="str">
        <f>IFERROR(__xludf.DUMMYFUNCTION("GOOGLETRANSLATE(B4040, ""fr"", ""en"")"),"good. not leather but good product.")</f>
        <v>good. not leather but good product.</v>
      </c>
    </row>
    <row r="4041">
      <c r="A4041" s="1">
        <v>5.0</v>
      </c>
      <c r="B4041" s="1" t="s">
        <v>4001</v>
      </c>
      <c r="C4041" t="str">
        <f>IFERROR(__xludf.DUMMYFUNCTION("GOOGLETRANSLATE(B4041, ""fr"", ""en"")"),"Very good quality comfortable and very light.")</f>
        <v>Very good quality comfortable and very light.</v>
      </c>
    </row>
    <row r="4042">
      <c r="A4042" s="1">
        <v>5.0</v>
      </c>
      <c r="B4042" s="1" t="s">
        <v>4002</v>
      </c>
      <c r="C4042" t="str">
        <f>IFERROR(__xludf.DUMMYFUNCTION("GOOGLETRANSLATE(B4042, ""fr"", ""en"")"),"Ouaou! Headphones portable, fairly comfortable once worn. I do not see the pain even wore three hours later ears, it is very rare")</f>
        <v>Ouaou! Headphones portable, fairly comfortable once worn. I do not see the pain even wore three hours later ears, it is very rare</v>
      </c>
    </row>
    <row r="4043">
      <c r="A4043" s="1">
        <v>5.0</v>
      </c>
      <c r="B4043" s="1" t="s">
        <v>4003</v>
      </c>
      <c r="C4043" t="str">
        <f>IFERROR(__xludf.DUMMYFUNCTION("GOOGLETRANSLATE(B4043, ""fr"", ""en"")"),"WELL WELL")</f>
        <v>WELL WELL</v>
      </c>
    </row>
    <row r="4044">
      <c r="A4044" s="1">
        <v>5.0</v>
      </c>
      <c r="B4044" s="1" t="s">
        <v>838</v>
      </c>
      <c r="C4044" t="str">
        <f>IFERROR(__xludf.DUMMYFUNCTION("GOOGLETRANSLATE(B4044, ""fr"", ""en"")"),"candy")</f>
        <v>candy</v>
      </c>
    </row>
    <row r="4045">
      <c r="A4045" s="1">
        <v>5.0</v>
      </c>
      <c r="B4045" s="1" t="s">
        <v>4004</v>
      </c>
      <c r="C4045" t="str">
        <f>IFERROR(__xludf.DUMMYFUNCTION("GOOGLETRANSLATE(B4045, ""fr"", ""en"")"),"Watch that suits everybody, very classy I bought this watch to offer my boyfriend. He loved it! She arrived early and no particular problem (scratches or other ...)")</f>
        <v>Watch that suits everybody, very classy I bought this watch to offer my boyfriend. He loved it! She arrived early and no particular problem (scratches or other ...)</v>
      </c>
    </row>
    <row r="4046">
      <c r="A4046" s="1">
        <v>5.0</v>
      </c>
      <c r="B4046" s="1" t="s">
        <v>4005</v>
      </c>
      <c r="C4046" t="str">
        <f>IFERROR(__xludf.DUMMYFUNCTION("GOOGLETRANSLATE(B4046, ""fr"", ""en"")"),"faster than his shadow super fast delivery before the scheduled date, and the product according to the one I use for ages; Best of all, Price, sweet as today's time.")</f>
        <v>faster than his shadow super fast delivery before the scheduled date, and the product according to the one I use for ages; Best of all, Price, sweet as today's time.</v>
      </c>
    </row>
    <row r="4047">
      <c r="A4047" s="1">
        <v>5.0</v>
      </c>
      <c r="B4047" s="1" t="s">
        <v>4006</v>
      </c>
      <c r="C4047" t="str">
        <f>IFERROR(__xludf.DUMMYFUNCTION("GOOGLETRANSLATE(B4047, ""fr"", ""en"")"),"Comfortable and convenient! Very comfortable with the memory soles and practical form! I am a fan of Sketchers and could not live without it! It offers good performance despite the absence of lace. I put them in a year, almost every day and it wears slowl"&amp;"y. Only flaw I had, along with another pair, is the inner tissue behind the heel is damaged and it becomes painful as rubbing. But considering the use, it seems normal that there wear. I recommend!!")</f>
        <v>Comfortable and convenient! Very comfortable with the memory soles and practical form! I am a fan of Sketchers and could not live without it! It offers good performance despite the absence of lace. I put them in a year, almost every day and it wears slowly. Only flaw I had, along with another pair, is the inner tissue behind the heel is damaged and it becomes painful as rubbing. But considering the use, it seems normal that there wear. I recommend!!</v>
      </c>
    </row>
    <row r="4048">
      <c r="A4048" s="1">
        <v>2.0</v>
      </c>
      <c r="B4048" s="1" t="s">
        <v>4007</v>
      </c>
      <c r="C4048" t="str">
        <f>IFERROR(__xludf.DUMMYFUNCTION("GOOGLETRANSLATE(B4048, ""fr"", ""en"")"),"Average product. A bit disappointed with this purchase. Received within the time. Bluetooth Ok. But its low. To hear him talk or sing, you have to stick your mouth to the microphone ... very disagreeable when during a birthday for example, 6 children are "&amp;"trying to use the camera in turn.")</f>
        <v>Average product. A bit disappointed with this purchase. Received within the time. Bluetooth Ok. But its low. To hear him talk or sing, you have to stick your mouth to the microphone ... very disagreeable when during a birthday for example, 6 children are trying to use the camera in turn.</v>
      </c>
    </row>
    <row r="4049">
      <c r="A4049" s="1">
        <v>1.0</v>
      </c>
      <c r="B4049" s="1" t="s">
        <v>4008</v>
      </c>
      <c r="C4049" t="str">
        <f>IFERROR(__xludf.DUMMYFUNCTION("GOOGLETRANSLATE(B4049, ""fr"", ""en"")"),"NOT FOR CARDS! Bought for packing boxes Do not stick well, I do not recommend")</f>
        <v>NOT FOR CARDS! Bought for packing boxes Do not stick well, I do not recommend</v>
      </c>
    </row>
    <row r="4050">
      <c r="A4050" s="1">
        <v>1.0</v>
      </c>
      <c r="B4050" s="1" t="s">
        <v>4009</v>
      </c>
      <c r="C4050" t="str">
        <f>IFERROR(__xludf.DUMMYFUNCTION("GOOGLETRANSLATE(B4050, ""fr"", ""en"")"),"It does not please everyone Book received by my daughter of 9 years at Christmas, she found the strange, not really his age. I was inspired by the scores ... total disappointment m being cheated. Why did you buy that ?? Um, Malay ...")</f>
        <v>It does not please everyone Book received by my daughter of 9 years at Christmas, she found the strange, not really his age. I was inspired by the scores ... total disappointment m being cheated. Why did you buy that ?? Um, Malay ...</v>
      </c>
    </row>
    <row r="4051">
      <c r="A4051" s="1">
        <v>3.0</v>
      </c>
      <c r="B4051" s="1" t="s">
        <v>4010</v>
      </c>
      <c r="C4051" t="str">
        <f>IFERROR(__xludf.DUMMYFUNCTION("GOOGLETRANSLATE(B4051, ""fr"", ""en"")"),"Pretty decue product on the picture but that does some real hardware. Using the average 3h prigrammables diffusion does not last more than 2 hours. Sometimes random brightness is racing by fast flashes. As against the dissemination of scents is perfect. S"&amp;"o I wait and see if over time it will diffuser.")</f>
        <v>Pretty decue product on the picture but that does some real hardware. Using the average 3h prigrammables diffusion does not last more than 2 hours. Sometimes random brightness is racing by fast flashes. As against the dissemination of scents is perfect. So I wait and see if over time it will diffuser.</v>
      </c>
    </row>
    <row r="4052">
      <c r="A4052" s="1">
        <v>4.0</v>
      </c>
      <c r="B4052" s="1" t="s">
        <v>4011</v>
      </c>
      <c r="C4052" t="str">
        <f>IFERROR(__xludf.DUMMYFUNCTION("GOOGLETRANSLATE(B4052, ""fr"", ""en"")"),"great product My baby Direct taken MAM bottle, it was expected to make several brands but the first was good Negative: pity that the start has 60ml graduation because it is difficult to see how much baby n ' no drinking sudden a marking from 20ml have bee"&amp;"n more helpful, especially that it is very difficult to realize in the eye of the remaining given the complexity of the bottle down (be rubber background)")</f>
        <v>great product My baby Direct taken MAM bottle, it was expected to make several brands but the first was good Negative: pity that the start has 60ml graduation because it is difficult to see how much baby n ' no drinking sudden a marking from 20ml have been more helpful, especially that it is very difficult to realize in the eye of the remaining given the complexity of the bottle down (be rubber background)</v>
      </c>
    </row>
    <row r="4053">
      <c r="A4053" s="1">
        <v>4.0</v>
      </c>
      <c r="B4053" s="1" t="s">
        <v>4012</v>
      </c>
      <c r="C4053" t="str">
        <f>IFERROR(__xludf.DUMMYFUNCTION("GOOGLETRANSLATE(B4053, ""fr"", ""en"")"),"Nothing to say Nothing to say")</f>
        <v>Nothing to say Nothing to say</v>
      </c>
    </row>
    <row r="4054">
      <c r="A4054" s="1">
        <v>4.0</v>
      </c>
      <c r="B4054" s="1" t="s">
        <v>4013</v>
      </c>
      <c r="C4054" t="str">
        <f>IFERROR(__xludf.DUMMYFUNCTION("GOOGLETRANSLATE(B4054, ""fr"", ""en"")"),"simple to install easily installer- works well even if an error message appears. against by the printer reports the empty cartridge, but it seems that there is some ink when shaken. But for the price I had already ordered and I renewed because the value f"&amp;"or money is very interesting.")</f>
        <v>simple to install easily installer- works well even if an error message appears. against by the printer reports the empty cartridge, but it seems that there is some ink when shaken. But for the price I had already ordered and I renewed because the value for money is very interesting.</v>
      </c>
    </row>
    <row r="4055">
      <c r="A4055" s="1">
        <v>4.0</v>
      </c>
      <c r="B4055" s="1" t="s">
        <v>4014</v>
      </c>
      <c r="C4055" t="str">
        <f>IFERROR(__xludf.DUMMYFUNCTION("GOOGLETRANSLATE(B4055, ""fr"", ""en"")"),"Beautiful sweater time delivery, good quality jacket and crisp. Light but holding hot, for aviators or others.")</f>
        <v>Beautiful sweater time delivery, good quality jacket and crisp. Light but holding hot, for aviators or others.</v>
      </c>
    </row>
    <row r="4056">
      <c r="A4056" s="1">
        <v>5.0</v>
      </c>
      <c r="B4056" s="1" t="s">
        <v>4015</v>
      </c>
      <c r="C4056" t="str">
        <f>IFERROR(__xludf.DUMMYFUNCTION("GOOGLETRANSLATE(B4056, ""fr"", ""en"")"),"super cleans very well and I love the smell")</f>
        <v>super cleans very well and I love the smell</v>
      </c>
    </row>
    <row r="4057">
      <c r="A4057" s="1">
        <v>5.0</v>
      </c>
      <c r="B4057" s="1" t="s">
        <v>4016</v>
      </c>
      <c r="C4057" t="str">
        <f>IFERROR(__xludf.DUMMYFUNCTION("GOOGLETRANSLATE(B4057, ""fr"", ""en"")"),"In the top ! Ideal for singing or for recording meetings. Ideal for course on Skype! I appreciate the quality of the brand so I'll even take the Blue Microphones Raspberry.")</f>
        <v>In the top ! Ideal for singing or for recording meetings. Ideal for course on Skype! I appreciate the quality of the brand so I'll even take the Blue Microphones Raspberry.</v>
      </c>
    </row>
    <row r="4058">
      <c r="A4058" s="1">
        <v>5.0</v>
      </c>
      <c r="B4058" s="1" t="s">
        <v>4017</v>
      </c>
      <c r="C4058" t="str">
        <f>IFERROR(__xludf.DUMMYFUNCTION("GOOGLETRANSLATE(B4058, ""fr"", ""en"")"),"Okay bracelet very nice, beautiful black finish, it is easy to remove the links provided by the device.")</f>
        <v>Okay bracelet very nice, beautiful black finish, it is easy to remove the links provided by the device.</v>
      </c>
    </row>
    <row r="4059">
      <c r="A4059" s="1">
        <v>5.0</v>
      </c>
      <c r="B4059" s="1" t="s">
        <v>4018</v>
      </c>
      <c r="C4059" t="str">
        <f>IFERROR(__xludf.DUMMYFUNCTION("GOOGLETRANSLATE(B4059, ""fr"", ""en"")"),"Ideal comfortable and absolutely modern Light I love")</f>
        <v>Ideal comfortable and absolutely modern Light I love</v>
      </c>
    </row>
    <row r="4060">
      <c r="A4060" s="1">
        <v>5.0</v>
      </c>
      <c r="B4060" s="1" t="s">
        <v>4019</v>
      </c>
      <c r="C4060" t="str">
        <f>IFERROR(__xludf.DUMMYFUNCTION("GOOGLETRANSLATE(B4060, ""fr"", ""en"")"),"Genial Very satisfied")</f>
        <v>Genial Very satisfied</v>
      </c>
    </row>
    <row r="4061">
      <c r="A4061" s="1">
        <v>5.0</v>
      </c>
      <c r="B4061" s="1" t="s">
        <v>4020</v>
      </c>
      <c r="C4061" t="str">
        <f>IFERROR(__xludf.DUMMYFUNCTION("GOOGLETRANSLATE(B4061, ""fr"", ""en"")"),"ok ok")</f>
        <v>ok ok</v>
      </c>
    </row>
    <row r="4062">
      <c r="A4062" s="1">
        <v>5.0</v>
      </c>
      <c r="B4062" s="1" t="s">
        <v>4021</v>
      </c>
      <c r="C4062" t="str">
        <f>IFERROR(__xludf.DUMMYFUNCTION("GOOGLETRANSLATE(B4062, ""fr"", ""en"")"),"Too beautiful!!!!! Super stylish beautiful she wear for all occasions as well as to work for an afternoon of shopping or a romantic dinner 😍😍😍😍")</f>
        <v>Too beautiful!!!!! Super stylish beautiful she wear for all occasions as well as to work for an afternoon of shopping or a romantic dinner 😍😍😍😍</v>
      </c>
    </row>
    <row r="4063">
      <c r="A4063" s="1">
        <v>5.0</v>
      </c>
      <c r="B4063" s="1" t="s">
        <v>4022</v>
      </c>
      <c r="C4063" t="str">
        <f>IFERROR(__xludf.DUMMYFUNCTION("GOOGLETRANSLATE(B4063, ""fr"", ""en"")"),"Of Gift")</f>
        <v>Of Gift</v>
      </c>
    </row>
    <row r="4064">
      <c r="A4064" s="1">
        <v>5.0</v>
      </c>
      <c r="B4064" s="1" t="s">
        <v>4023</v>
      </c>
      <c r="C4064" t="str">
        <f>IFERROR(__xludf.DUMMYFUNCTION("GOOGLETRANSLATE(B4064, ""fr"", ""en"")"),"Too good Super")</f>
        <v>Too good Super</v>
      </c>
    </row>
    <row r="4065">
      <c r="A4065" s="1">
        <v>5.0</v>
      </c>
      <c r="B4065" s="1" t="s">
        <v>4024</v>
      </c>
      <c r="C4065" t="str">
        <f>IFERROR(__xludf.DUMMYFUNCTION("GOOGLETRANSLATE(B4065, ""fr"", ""en"")"),"Soft and comfortable. Did I bought this pair of shoes for my sport. They are very comfortable, flexible and very good style for my taste.")</f>
        <v>Soft and comfortable. Did I bought this pair of shoes for my sport. They are very comfortable, flexible and very good style for my taste.</v>
      </c>
    </row>
    <row r="4066">
      <c r="A4066" s="1">
        <v>5.0</v>
      </c>
      <c r="B4066" s="1" t="s">
        <v>4025</v>
      </c>
      <c r="C4066" t="str">
        <f>IFERROR(__xludf.DUMMYFUNCTION("GOOGLETRANSLATE(B4066, ""fr"", ""en"")"),"Super Hyper practice the only downside is the box is a bit big")</f>
        <v>Super Hyper practice the only downside is the box is a bit big</v>
      </c>
    </row>
    <row r="4067">
      <c r="A4067" s="1">
        <v>5.0</v>
      </c>
      <c r="B4067" s="1" t="s">
        <v>4026</v>
      </c>
      <c r="C4067" t="str">
        <f>IFERROR(__xludf.DUMMYFUNCTION("GOOGLETRANSLATE(B4067, ""fr"", ""en"")"),"Perfect and good price gift for my daughter exactly as planned. Perfect thank you")</f>
        <v>Perfect and good price gift for my daughter exactly as planned. Perfect thank you</v>
      </c>
    </row>
    <row r="4068">
      <c r="A4068" s="1">
        <v>5.0</v>
      </c>
      <c r="B4068" s="1" t="s">
        <v>4027</v>
      </c>
      <c r="C4068" t="str">
        <f>IFERROR(__xludf.DUMMYFUNCTION("GOOGLETRANSLATE(B4068, ""fr"", ""en"")"),"Great product quality very good.")</f>
        <v>Great product quality very good.</v>
      </c>
    </row>
    <row r="4069">
      <c r="A4069" s="1">
        <v>5.0</v>
      </c>
      <c r="B4069" s="1" t="s">
        <v>4028</v>
      </c>
      <c r="C4069" t="str">
        <f>IFERROR(__xludf.DUMMYFUNCTION("GOOGLETRANSLATE(B4069, ""fr"", ""en"")"),"Impeccable Good manufacturing, impeccable quality, size that fits. I recommend")</f>
        <v>Impeccable Good manufacturing, impeccable quality, size that fits. I recommend</v>
      </c>
    </row>
    <row r="4070">
      <c r="A4070" s="1">
        <v>5.0</v>
      </c>
      <c r="B4070" s="1" t="s">
        <v>4029</v>
      </c>
      <c r="C4070" t="str">
        <f>IFERROR(__xludf.DUMMYFUNCTION("GOOGLETRANSLATE(B4070, ""fr"", ""en"")"),"Cheaper than in commerce and more bags Commercially these bags are more expensive and there are only 8 per packaging! I love this product because the bags are ultra-resistant and have wrists that can be tightly closed bags during throw. If you parry this "&amp;"comment useful thank you to click yes and more tests and reviews visit my website, the link is in my profile (English site).")</f>
        <v>Cheaper than in commerce and more bags Commercially these bags are more expensive and there are only 8 per packaging! I love this product because the bags are ultra-resistant and have wrists that can be tightly closed bags during throw. If you parry this comment useful thank you to click yes and more tests and reviews visit my website, the link is in my profile (English site).</v>
      </c>
    </row>
    <row r="4071">
      <c r="A4071" s="1">
        <v>2.0</v>
      </c>
      <c r="B4071" s="1" t="s">
        <v>4030</v>
      </c>
      <c r="C4071" t="str">
        <f>IFERROR(__xludf.DUMMYFUNCTION("GOOGLETRANSLATE(B4071, ""fr"", ""en"")"),"But not suitable for sport If tears very quickly when using")</f>
        <v>But not suitable for sport If tears very quickly when using</v>
      </c>
    </row>
    <row r="4072">
      <c r="A4072" s="1">
        <v>1.0</v>
      </c>
      <c r="B4072" s="1" t="s">
        <v>4031</v>
      </c>
      <c r="C4072" t="str">
        <f>IFERROR(__xludf.DUMMYFUNCTION("GOOGLETRANSLATE(B4072, ""fr"", ""en"")"),"Bad Put me my HP 3636 failed. It was difficult enough to understand that the printer refused the installation of an HP original cartridge at this price. I fumbled for 24 hours, the software detects a trace of ink in the black cartridge. This is not the fi"&amp;"rst time I have had to change a printer to a design flaw in the HP cartridge. willful failure? unintentional failure? Planned obsolescence?? Morality that you take home cartouchez or not, if the machine is programmed to heave nothing fera.Dans this case a"&amp;" star is TOO.")</f>
        <v>Bad Put me my HP 3636 failed. It was difficult enough to understand that the printer refused the installation of an HP original cartridge at this price. I fumbled for 24 hours, the software detects a trace of ink in the black cartridge. This is not the first time I have had to change a printer to a design flaw in the HP cartridge. willful failure? unintentional failure? Planned obsolescence?? Morality that you take home cartouchez or not, if the machine is programmed to heave nothing fera.Dans this case a star is TOO.</v>
      </c>
    </row>
    <row r="4073">
      <c r="A4073" s="1">
        <v>3.0</v>
      </c>
      <c r="B4073" s="1" t="s">
        <v>4032</v>
      </c>
      <c r="C4073" t="str">
        <f>IFERROR(__xludf.DUMMYFUNCTION("GOOGLETRANSLATE(B4073, ""fr"", ""en"")"),"comfortable but ... I took these sandals to the pool. They are comfortable, even if one she slips slightly to the side when wet. But the biggest concern is the drying time ... Several hours are needed before it is dry enough to be rows. Unfortunate and in"&amp;"convenient!")</f>
        <v>comfortable but ... I took these sandals to the pool. They are comfortable, even if one she slips slightly to the side when wet. But the biggest concern is the drying time ... Several hours are needed before it is dry enough to be rows. Unfortunate and inconvenient!</v>
      </c>
    </row>
    <row r="4074">
      <c r="A4074" s="1">
        <v>3.0</v>
      </c>
      <c r="B4074" s="1" t="s">
        <v>4033</v>
      </c>
      <c r="C4074" t="str">
        <f>IFERROR(__xludf.DUMMYFUNCTION("GOOGLETRANSLATE(B4074, ""fr"", ""en"")"),"Very correct soundcore The Liberty Air are very correct, it approximates the original airpods. The box with the headphones is aesthetic and indicates the load. holding is good even in a sport, it takes a little practice to go from one piece to another, vo"&amp;"ice control etc. Beware, there is no command to raise or lower the volume.")</f>
        <v>Very correct soundcore The Liberty Air are very correct, it approximates the original airpods. The box with the headphones is aesthetic and indicates the load. holding is good even in a sport, it takes a little practice to go from one piece to another, voice control etc. Beware, there is no command to raise or lower the volume.</v>
      </c>
    </row>
    <row r="4075">
      <c r="A4075" s="1">
        <v>4.0</v>
      </c>
      <c r="B4075" s="1" t="s">
        <v>4034</v>
      </c>
      <c r="C4075" t="str">
        <f>IFERROR(__xludf.DUMMYFUNCTION("GOOGLETRANSLATE(B4075, ""fr"", ""en"")"),"Good Product A bit noisy")</f>
        <v>Good Product A bit noisy</v>
      </c>
    </row>
    <row r="4076">
      <c r="A4076" s="1">
        <v>4.0</v>
      </c>
      <c r="B4076" s="1" t="s">
        <v>1837</v>
      </c>
      <c r="C4076" t="str">
        <f>IFERROR(__xludf.DUMMYFUNCTION("GOOGLETRANSLATE(B4076, ""fr"", ""en"")"),"Good Good")</f>
        <v>Good Good</v>
      </c>
    </row>
    <row r="4077">
      <c r="A4077" s="1">
        <v>4.0</v>
      </c>
      <c r="B4077" s="1" t="s">
        <v>4035</v>
      </c>
      <c r="C4077" t="str">
        <f>IFERROR(__xludf.DUMMYFUNCTION("GOOGLETRANSLATE(B4077, ""fr"", ""en"")"),"Well I use to listen to the radio throughout the house with good sound quality, even through thick walls. Up to 50 m away.")</f>
        <v>Well I use to listen to the radio throughout the house with good sound quality, even through thick walls. Up to 50 m away.</v>
      </c>
    </row>
    <row r="4078">
      <c r="A4078" s="1">
        <v>4.0</v>
      </c>
      <c r="B4078" s="1" t="s">
        <v>4036</v>
      </c>
      <c r="C4078" t="str">
        <f>IFERROR(__xludf.DUMMYFUNCTION("GOOGLETRANSLATE(B4078, ""fr"", ""en"")"),"Perfect perfect and guns, cannons and they are purchased in promo, a wonder very happy :)")</f>
        <v>Perfect perfect and guns, cannons and they are purchased in promo, a wonder very happy :)</v>
      </c>
    </row>
    <row r="4079">
      <c r="A4079" s="1">
        <v>5.0</v>
      </c>
      <c r="B4079" s="1" t="s">
        <v>4037</v>
      </c>
      <c r="C4079" t="str">
        <f>IFERROR(__xludf.DUMMYFUNCTION("GOOGLETRANSLATE(B4079, ""fr"", ""en"")"),"perfect cotton is pleasant - they are quite thick, very good quality")</f>
        <v>perfect cotton is pleasant - they are quite thick, very good quality</v>
      </c>
    </row>
    <row r="4080">
      <c r="A4080" s="1">
        <v>5.0</v>
      </c>
      <c r="B4080" s="1" t="s">
        <v>4038</v>
      </c>
      <c r="C4080" t="str">
        <f>IFERROR(__xludf.DUMMYFUNCTION("GOOGLETRANSLATE(B4080, ""fr"", ""en"")"),"THANK YOU I LOVE THE PRICE")</f>
        <v>THANK YOU I LOVE THE PRICE</v>
      </c>
    </row>
    <row r="4081">
      <c r="A4081" s="1">
        <v>5.0</v>
      </c>
      <c r="B4081" s="1" t="s">
        <v>4039</v>
      </c>
      <c r="C4081" t="str">
        <f>IFERROR(__xludf.DUMMYFUNCTION("GOOGLETRANSLATE(B4081, ""fr"", ""en"")"),"I love Material very nice!")</f>
        <v>I love Material very nice!</v>
      </c>
    </row>
    <row r="4082">
      <c r="A4082" s="1">
        <v>5.0</v>
      </c>
      <c r="B4082" s="1" t="s">
        <v>4040</v>
      </c>
      <c r="C4082" t="str">
        <f>IFERROR(__xludf.DUMMYFUNCTION("GOOGLETRANSLATE(B4082, ""fr"", ""en"")"),"Vest very thick jacket")</f>
        <v>Vest very thick jacket</v>
      </c>
    </row>
    <row r="4083">
      <c r="A4083" s="1">
        <v>5.0</v>
      </c>
      <c r="B4083" s="1" t="s">
        <v>4041</v>
      </c>
      <c r="C4083" t="str">
        <f>IFERROR(__xludf.DUMMYFUNCTION("GOOGLETRANSLATE(B4083, ""fr"", ""en"")"),"Boots really elegant and comfortable to wear I took a size above mine related reviews of other buyers and yes, they run small so it's perfect. The shoes are stylish, thin and very comfortable to wear. I do not recommanldes for a person with feet ""thick"""&amp;" mine are fine and that greenhouse anyway. By cons they are like slippers! I do not regret my purchase, first time I am taking this brand, I am delighted.")</f>
        <v>Boots really elegant and comfortable to wear I took a size above mine related reviews of other buyers and yes, they run small so it's perfect. The shoes are stylish, thin and very comfortable to wear. I do not recommanldes for a person with feet "thick" mine are fine and that greenhouse anyway. By cons they are like slippers! I do not regret my purchase, first time I am taking this brand, I am delighted.</v>
      </c>
    </row>
    <row r="4084">
      <c r="A4084" s="1">
        <v>5.0</v>
      </c>
      <c r="B4084" s="1" t="s">
        <v>4042</v>
      </c>
      <c r="C4084" t="str">
        <f>IFERROR(__xludf.DUMMYFUNCTION("GOOGLETRANSLATE(B4084, ""fr"", ""en"")"),"I recommend a size above Beautiful! I recommend one size bigger eg I make 37 I took 37 and a half")</f>
        <v>I recommend a size above Beautiful! I recommend one size bigger eg I make 37 I took 37 and a half</v>
      </c>
    </row>
    <row r="4085">
      <c r="A4085" s="1">
        <v>5.0</v>
      </c>
      <c r="B4085" s="1" t="s">
        <v>4043</v>
      </c>
      <c r="C4085" t="str">
        <f>IFERROR(__xludf.DUMMYFUNCTION("GOOGLETRANSLATE(B4085, ""fr"", ""en"")"),"My comments for DYMO Label Manager 160 I'm really satisfied with my purchase. This labeler is very easy to use and very complete. Read still the Quick Start Guide supplied with the machine and better, go to Google to have the complete instructions and FRE"&amp;"NCH PDF that you can print. After that, no problem, you do what you want to access the various functions. The QWERTY keyboard is really convenient and flexible material keys are more pleasant to use. Do not forget to buy 6 AAA batteries are not included w"&amp;"ith the machine. I recommend this purchase.")</f>
        <v>My comments for DYMO Label Manager 160 I'm really satisfied with my purchase. This labeler is very easy to use and very complete. Read still the Quick Start Guide supplied with the machine and better, go to Google to have the complete instructions and FRENCH PDF that you can print. After that, no problem, you do what you want to access the various functions. The QWERTY keyboard is really convenient and flexible material keys are more pleasant to use. Do not forget to buy 6 AAA batteries are not included with the machine. I recommend this purchase.</v>
      </c>
    </row>
    <row r="4086">
      <c r="A4086" s="1">
        <v>5.0</v>
      </c>
      <c r="B4086" s="1" t="s">
        <v>4044</v>
      </c>
      <c r="C4086" t="str">
        <f>IFERROR(__xludf.DUMMYFUNCTION("GOOGLETRANSLATE(B4086, ""fr"", ""en"")"),"Effective J was quickly infested with moth in the house with nothing happens not even a single c is very effective")</f>
        <v>Effective J was quickly infested with moth in the house with nothing happens not even a single c is very effective</v>
      </c>
    </row>
    <row r="4087">
      <c r="A4087" s="1">
        <v>5.0</v>
      </c>
      <c r="B4087" s="1" t="s">
        <v>4045</v>
      </c>
      <c r="C4087" t="str">
        <f>IFERROR(__xludf.DUMMYFUNCTION("GOOGLETRANSLATE(B4087, ""fr"", ""en"")"),"I recommend @ I love perfect 👍👍👍")</f>
        <v>I recommend @ I love perfect 👍👍👍</v>
      </c>
    </row>
    <row r="4088">
      <c r="A4088" s="1">
        <v>5.0</v>
      </c>
      <c r="B4088" s="1" t="s">
        <v>4046</v>
      </c>
      <c r="C4088" t="str">
        <f>IFERROR(__xludf.DUMMYFUNCTION("GOOGLETRANSLATE(B4088, ""fr"", ""en"")"),"exactly like the description Very easy to use perfect quality at the top")</f>
        <v>exactly like the description Very easy to use perfect quality at the top</v>
      </c>
    </row>
    <row r="4089">
      <c r="A4089" s="1">
        <v>5.0</v>
      </c>
      <c r="B4089" s="1" t="s">
        <v>4047</v>
      </c>
      <c r="C4089" t="str">
        <f>IFERROR(__xludf.DUMMYFUNCTION("GOOGLETRANSLATE(B4089, ""fr"", ""en"")"),"Very nice watch top top top shows superb packaging nickel very happy with my purchase A bit complicated for the setting but luckily the instructions of the watch is very well done")</f>
        <v>Very nice watch top top top shows superb packaging nickel very happy with my purchase A bit complicated for the setting but luckily the instructions of the watch is very well done</v>
      </c>
    </row>
    <row r="4090">
      <c r="A4090" s="1">
        <v>5.0</v>
      </c>
      <c r="B4090" s="1" t="s">
        <v>4048</v>
      </c>
      <c r="C4090" t="str">
        <f>IFERROR(__xludf.DUMMYFUNCTION("GOOGLETRANSLATE(B4090, ""fr"", ""en"")"),"Nickel Nice hat, I wanted a cap discreet enough with a nice shape and this one is perfect. The visor is rigid, the fabric is good and the color navy blue with a nice little logo ""NY"" discreet but spring brings the next class. I am very happy with this p"&amp;"urchase")</f>
        <v>Nickel Nice hat, I wanted a cap discreet enough with a nice shape and this one is perfect. The visor is rigid, the fabric is good and the color navy blue with a nice little logo "NY" discreet but spring brings the next class. I am very happy with this purchase</v>
      </c>
    </row>
    <row r="4091">
      <c r="A4091" s="1">
        <v>5.0</v>
      </c>
      <c r="B4091" s="1" t="s">
        <v>4049</v>
      </c>
      <c r="C4091" t="str">
        <f>IFERROR(__xludf.DUMMYFUNCTION("GOOGLETRANSLATE(B4091, ""fr"", ""en"")"),"The important thing is to know without serving Very good product if you know how to use, avoid short washes or not hot enough and everything will be fine. Chemical and produce less aggressive than usual detergents for both the environment and to the skin.")</f>
        <v>The important thing is to know without serving Very good product if you know how to use, avoid short washes or not hot enough and everything will be fine. Chemical and produce less aggressive than usual detergents for both the environment and to the skin.</v>
      </c>
    </row>
    <row r="4092">
      <c r="A4092" s="1">
        <v>5.0</v>
      </c>
      <c r="B4092" s="1" t="s">
        <v>4050</v>
      </c>
      <c r="C4092" t="str">
        <f>IFERROR(__xludf.DUMMYFUNCTION("GOOGLETRANSLATE(B4092, ""fr"", ""en"")"),"effective and odors against 45 nights to forget I spend a month's holiday and I use 2 ais.")</f>
        <v>effective and odors against 45 nights to forget I spend a month's holiday and I use 2 ais.</v>
      </c>
    </row>
    <row r="4093">
      <c r="A4093" s="1">
        <v>5.0</v>
      </c>
      <c r="B4093" s="1" t="s">
        <v>4051</v>
      </c>
      <c r="C4093" t="str">
        <f>IFERROR(__xludf.DUMMYFUNCTION("GOOGLETRANSLATE(B4093, ""fr"", ""en"")"),"Magic compliant Product, fast delivery.")</f>
        <v>Magic compliant Product, fast delivery.</v>
      </c>
    </row>
    <row r="4094">
      <c r="A4094" s="1">
        <v>2.0</v>
      </c>
      <c r="B4094" s="1" t="s">
        <v>4052</v>
      </c>
      <c r="C4094" t="str">
        <f>IFERROR(__xludf.DUMMYFUNCTION("GOOGLETRANSLATE(B4094, ""fr"", ""en"")"),"Brushes not solid. The paletttes are, brushes are not solid. They hold 2min penalty in the hand of my son. Pity")</f>
        <v>Brushes not solid. The paletttes are, brushes are not solid. They hold 2min penalty in the hand of my son. Pity</v>
      </c>
    </row>
    <row r="4095">
      <c r="A4095" s="1">
        <v>1.0</v>
      </c>
      <c r="B4095" s="1" t="s">
        <v>4053</v>
      </c>
      <c r="C4095" t="str">
        <f>IFERROR(__xludf.DUMMYFUNCTION("GOOGLETRANSLATE(B4095, ""fr"", ""en"")"),"MAXI SCAM !!!! This so-called washing ball is made of a flexible plastic common sphere without lid for a slow release of the detergent. This piece of soft plastic is not worth more than 10 cents as long as we want at all costs to buy it. Paid € 9.95 it is"&amp;" better extrude an old tennis ball !!")</f>
        <v>MAXI SCAM !!!! This so-called washing ball is made of a flexible plastic common sphere without lid for a slow release of the detergent. This piece of soft plastic is not worth more than 10 cents as long as we want at all costs to buy it. Paid € 9.95 it is better extrude an old tennis ball !!</v>
      </c>
    </row>
    <row r="4096">
      <c r="A4096" s="1">
        <v>1.0</v>
      </c>
      <c r="B4096" s="1" t="s">
        <v>4054</v>
      </c>
      <c r="C4096" t="str">
        <f>IFERROR(__xludf.DUMMYFUNCTION("GOOGLETRANSLATE(B4096, ""fr"", ""en"")"),"Odor appalling These tissues have a horrible smell of fish")</f>
        <v>Odor appalling These tissues have a horrible smell of fish</v>
      </c>
    </row>
    <row r="4097">
      <c r="A4097" s="1">
        <v>3.0</v>
      </c>
      <c r="B4097" s="1" t="s">
        <v>4055</v>
      </c>
      <c r="C4097" t="str">
        <f>IFERROR(__xludf.DUMMYFUNCTION("GOOGLETRANSLATE(B4097, ""fr"", ""en"")"),"Worth its price Held 15 days door every day. For the price you should not expect better anyway!")</f>
        <v>Worth its price Held 15 days door every day. For the price you should not expect better anyway!</v>
      </c>
    </row>
    <row r="4098">
      <c r="A4098" s="1">
        <v>3.0</v>
      </c>
      <c r="B4098" s="1" t="s">
        <v>4056</v>
      </c>
      <c r="C4098" t="str">
        <f>IFERROR(__xludf.DUMMYFUNCTION("GOOGLETRANSLATE(B4098, ""fr"", ""en"")"),"Beautiful bag Product Fairtrade but leaves high carbon footprint (manufacturing in India, Italian company). Beautiful leather, size consistent with the description.")</f>
        <v>Beautiful bag Product Fairtrade but leaves high carbon footprint (manufacturing in India, Italian company). Beautiful leather, size consistent with the description.</v>
      </c>
    </row>
    <row r="4099">
      <c r="A4099" s="1">
        <v>4.0</v>
      </c>
      <c r="B4099" s="1" t="s">
        <v>4057</v>
      </c>
      <c r="C4099" t="str">
        <f>IFERROR(__xludf.DUMMYFUNCTION("GOOGLETRANSLATE(B4099, ""fr"", ""en"")"),"Attention Shoe great !! Boots quality, the color of the picture is true to life, on this point you do have no surprises, but pay attention to size, these great Shoe boots, I had ordered at 42, I have returned and 41 redeemed.")</f>
        <v>Attention Shoe great !! Boots quality, the color of the picture is true to life, on this point you do have no surprises, but pay attention to size, these great Shoe boots, I had ordered at 42, I have returned and 41 redeemed.</v>
      </c>
    </row>
    <row r="4100">
      <c r="A4100" s="1">
        <v>4.0</v>
      </c>
      <c r="B4100" s="1" t="s">
        <v>4058</v>
      </c>
      <c r="C4100" t="str">
        <f>IFERROR(__xludf.DUMMYFUNCTION("GOOGLETRANSLATE(B4100, ""fr"", ""en"")"),"Purchase Basketball labor for work took a size above are my size it's fine Basketball comfortable to see the Very nice design time")</f>
        <v>Purchase Basketball labor for work took a size above are my size it's fine Basketball comfortable to see the Very nice design time</v>
      </c>
    </row>
    <row r="4101">
      <c r="A4101" s="1">
        <v>4.0</v>
      </c>
      <c r="B4101" s="1" t="s">
        <v>4059</v>
      </c>
      <c r="C4101" t="str">
        <f>IFERROR(__xludf.DUMMYFUNCTION("GOOGLETRANSLATE(B4101, ""fr"", ""en"")"),"Dreadlocks nice but from the 1st use the product abyss")</f>
        <v>Dreadlocks nice but from the 1st use the product abyss</v>
      </c>
    </row>
    <row r="4102">
      <c r="A4102" s="1">
        <v>4.0</v>
      </c>
      <c r="B4102" s="1" t="s">
        <v>4060</v>
      </c>
      <c r="C4102" t="str">
        <f>IFERROR(__xludf.DUMMYFUNCTION("GOOGLETRANSLATE(B4102, ""fr"", ""en"")"),"Nice for my teen! My teen love !!! Model very nice and very correct. The sneakers were received quickly. The quality seems to go")</f>
        <v>Nice for my teen! My teen love !!! Model very nice and very correct. The sneakers were received quickly. The quality seems to go</v>
      </c>
    </row>
    <row r="4103">
      <c r="A4103" s="1">
        <v>4.0</v>
      </c>
      <c r="B4103" s="1" t="s">
        <v>4061</v>
      </c>
      <c r="C4103" t="str">
        <f>IFERROR(__xludf.DUMMYFUNCTION("GOOGLETRANSLATE(B4103, ""fr"", ""en"")"),"Beautiful and strong Jen am very happy ..")</f>
        <v>Beautiful and strong Jen am very happy ..</v>
      </c>
    </row>
    <row r="4104">
      <c r="A4104" s="1">
        <v>5.0</v>
      </c>
      <c r="B4104" s="1" t="s">
        <v>4062</v>
      </c>
      <c r="C4104" t="str">
        <f>IFERROR(__xludf.DUMMYFUNCTION("GOOGLETRANSLATE(B4104, ""fr"", ""en"")"),"ok value for money, you have to buy the bottle and not Natural Classic Philips Avent otherwise it will not fit.")</f>
        <v>ok value for money, you have to buy the bottle and not Natural Classic Philips Avent otherwise it will not fit.</v>
      </c>
    </row>
    <row r="4105">
      <c r="A4105" s="1">
        <v>5.0</v>
      </c>
      <c r="B4105" s="1" t="s">
        <v>4063</v>
      </c>
      <c r="C4105" t="str">
        <f>IFERROR(__xludf.DUMMYFUNCTION("GOOGLETRANSLATE(B4105, ""fr"", ""en"")"),"Okay Nothing to say in particular is what is expected of a teat medium flow. Hole small anyway I have bought the flow at desssus")</f>
        <v>Okay Nothing to say in particular is what is expected of a teat medium flow. Hole small anyway I have bought the flow at desssus</v>
      </c>
    </row>
    <row r="4106">
      <c r="A4106" s="1">
        <v>5.0</v>
      </c>
      <c r="B4106" s="1" t="s">
        <v>4064</v>
      </c>
      <c r="C4106" t="str">
        <f>IFERROR(__xludf.DUMMYFUNCTION("GOOGLETRANSLATE(B4106, ""fr"", ""en"")"),"Top to mix bottles This mixer is used from 1 month of my son to mix his bottles! Ideal for milk that had to hurt to dissolve")</f>
        <v>Top to mix bottles This mixer is used from 1 month of my son to mix his bottles! Ideal for milk that had to hurt to dissolve</v>
      </c>
    </row>
    <row r="4107">
      <c r="A4107" s="1">
        <v>5.0</v>
      </c>
      <c r="B4107" s="1" t="s">
        <v>4065</v>
      </c>
      <c r="C4107" t="str">
        <f>IFERROR(__xludf.DUMMYFUNCTION("GOOGLETRANSLATE(B4107, ""fr"", ""en"")"),"Very good product The brand lives up to its reputation. Excellent massage seat. Quality materials and perfect finishes. It is very effective and really helps target exactly the massage you want thanks to its numerous modes of operation. A session of 15 mi"&amp;"nutes every night, a treat before bed. I highly recommend.")</f>
        <v>Very good product The brand lives up to its reputation. Excellent massage seat. Quality materials and perfect finishes. It is very effective and really helps target exactly the massage you want thanks to its numerous modes of operation. A session of 15 minutes every night, a treat before bed. I highly recommend.</v>
      </c>
    </row>
    <row r="4108">
      <c r="A4108" s="1">
        <v>5.0</v>
      </c>
      <c r="B4108" s="1" t="s">
        <v>4066</v>
      </c>
      <c r="C4108" t="str">
        <f>IFERROR(__xludf.DUMMYFUNCTION("GOOGLETRANSLATE(B4108, ""fr"", ""en"")"),"Nickel Okay Fast delivery")</f>
        <v>Nickel Okay Fast delivery</v>
      </c>
    </row>
    <row r="4109">
      <c r="A4109" s="1">
        <v>5.0</v>
      </c>
      <c r="B4109" s="1" t="s">
        <v>4067</v>
      </c>
      <c r="C4109" t="str">
        <f>IFERROR(__xludf.DUMMYFUNCTION("GOOGLETRANSLATE(B4109, ""fr"", ""en"")"),"Very satisfied with my purchase very good product sound quality is perfect the excellent Bluetooth connection without static or break the headphones are very nice aesthetically. Really satisfied with my purchase")</f>
        <v>Very satisfied with my purchase very good product sound quality is perfect the excellent Bluetooth connection without static or break the headphones are very nice aesthetically. Really satisfied with my purchase</v>
      </c>
    </row>
    <row r="4110">
      <c r="A4110" s="1">
        <v>5.0</v>
      </c>
      <c r="B4110" s="1" t="s">
        <v>4068</v>
      </c>
      <c r="C4110" t="str">
        <f>IFERROR(__xludf.DUMMYFUNCTION("GOOGLETRANSLATE(B4110, ""fr"", ""en"")"),"BRUSH PRACTICE super brush to practice whiteboard for little hands of my little girl I recommend this good buy")</f>
        <v>BRUSH PRACTICE super brush to practice whiteboard for little hands of my little girl I recommend this good buy</v>
      </c>
    </row>
    <row r="4111">
      <c r="A4111" s="1">
        <v>5.0</v>
      </c>
      <c r="B4111" s="1" t="s">
        <v>4069</v>
      </c>
      <c r="C4111" t="str">
        <f>IFERROR(__xludf.DUMMYFUNCTION("GOOGLETRANSLATE(B4111, ""fr"", ""en"")"),"neck pouch beautiful bag but too big for me, good quality and strong that damage suits'd take me another but smaller")</f>
        <v>neck pouch beautiful bag but too big for me, good quality and strong that damage suits'd take me another but smaller</v>
      </c>
    </row>
    <row r="4112">
      <c r="A4112" s="1">
        <v>5.0</v>
      </c>
      <c r="B4112" s="1" t="s">
        <v>4070</v>
      </c>
      <c r="C4112" t="str">
        <f>IFERROR(__xludf.DUMMYFUNCTION("GOOGLETRANSLATE(B4112, ""fr"", ""en"")"),"Practical Small compact bag, very convenient. Its design is simple, black with a small metal plate on the front, very masculine. The quality is very good. Although small, it consists of three zip pockets and a pocket on the front. The pockets are wide eno"&amp;"ugh to encourage the return of little things, my smartphone 6 inches will fit without problems. There is also a pen holder on the side. Two straps are provided to allow the bag to wear over the shoulder or around the waist. My husband is from XXL and adju"&amp;"stable strap set to the maximum size is far too large. Virtually all body may agree! It is also possible thanks to the hanger attach the bag to the belt.")</f>
        <v>Practical Small compact bag, very convenient. Its design is simple, black with a small metal plate on the front, very masculine. The quality is very good. Although small, it consists of three zip pockets and a pocket on the front. The pockets are wide enough to encourage the return of little things, my smartphone 6 inches will fit without problems. There is also a pen holder on the side. Two straps are provided to allow the bag to wear over the shoulder or around the waist. My husband is from XXL and adjustable strap set to the maximum size is far too large. Virtually all body may agree! It is also possible thanks to the hanger attach the bag to the belt.</v>
      </c>
    </row>
    <row r="4113">
      <c r="A4113" s="1">
        <v>5.0</v>
      </c>
      <c r="B4113" s="1" t="s">
        <v>4071</v>
      </c>
      <c r="C4113" t="str">
        <f>IFERROR(__xludf.DUMMYFUNCTION("GOOGLETRANSLATE(B4113, ""fr"", ""en"")"),"GOOD PRODUCT SPORT INDOOR PRODUCT VERY WELL SUITED")</f>
        <v>GOOD PRODUCT SPORT INDOOR PRODUCT VERY WELL SUITED</v>
      </c>
    </row>
    <row r="4114">
      <c r="A4114" s="1">
        <v>5.0</v>
      </c>
      <c r="B4114" s="1" t="s">
        <v>4072</v>
      </c>
      <c r="C4114" t="str">
        <f>IFERROR(__xludf.DUMMYFUNCTION("GOOGLETRANSLATE(B4114, ""fr"", ""en"")"),"great product fast delivery product conforms to the description! I am a follower of these bottles that my daughter, breastfed, takes easily!")</f>
        <v>great product fast delivery product conforms to the description! I am a follower of these bottles that my daughter, breastfed, takes easily!</v>
      </c>
    </row>
    <row r="4115">
      <c r="A4115" s="1">
        <v>5.0</v>
      </c>
      <c r="B4115" s="1" t="s">
        <v>4073</v>
      </c>
      <c r="C4115" t="str">
        <f>IFERROR(__xludf.DUMMYFUNCTION("GOOGLETRANSLATE(B4115, ""fr"", ""en"")"),"night ok +")</f>
        <v>night ok +</v>
      </c>
    </row>
    <row r="4116">
      <c r="A4116" s="1">
        <v>5.0</v>
      </c>
      <c r="B4116" s="1" t="s">
        <v>4074</v>
      </c>
      <c r="C4116" t="str">
        <f>IFERROR(__xludf.DUMMYFUNCTION("GOOGLETRANSLATE(B4116, ""fr"", ""en"")"),"The cartridge that can be expected cartridge of regretting not being able to use compatible, much cheaper!")</f>
        <v>The cartridge that can be expected cartridge of regretting not being able to use compatible, much cheaper!</v>
      </c>
    </row>
    <row r="4117">
      <c r="A4117" s="1">
        <v>5.0</v>
      </c>
      <c r="B4117" s="1" t="s">
        <v>4075</v>
      </c>
      <c r="C4117" t="str">
        <f>IFERROR(__xludf.DUMMYFUNCTION("GOOGLETRANSLATE(B4117, ""fr"", ""en"")"),"Top Notch Just Wouahou! They are perfect. Both on the price than quality. No matter where you are, you can listen to your music without background noise. Fits very well to the ears thanks to the 3 sizes of nozzles available. Were my first wireless headpho"&amp;"nes and frankly I do not regret. I recommend much!")</f>
        <v>Top Notch Just Wouahou! They are perfect. Both on the price than quality. No matter where you are, you can listen to your music without background noise. Fits very well to the ears thanks to the 3 sizes of nozzles available. Were my first wireless headphones and frankly I do not regret. I recommend much!</v>
      </c>
    </row>
    <row r="4118">
      <c r="A4118" s="1">
        <v>5.0</v>
      </c>
      <c r="B4118" s="1" t="s">
        <v>4076</v>
      </c>
      <c r="C4118" t="str">
        <f>IFERROR(__xludf.DUMMYFUNCTION("GOOGLETRANSLATE(B4118, ""fr"", ""en"")"),"excellent product for creating I've been using this product for creations of all kinds and I love the reflection Metallic, colors and possible mixes! I would like to find at least two other metallised white felt, because the outfit is special for me, crea"&amp;"tor! I can make mixes and my work on metal is positive! Me, I am delighted with this purchase, I recommend it and there is a way to keep the felt to make more or less thick lines.")</f>
        <v>excellent product for creating I've been using this product for creations of all kinds and I love the reflection Metallic, colors and possible mixes! I would like to find at least two other metallised white felt, because the outfit is special for me, creator! I can make mixes and my work on metal is positive! Me, I am delighted with this purchase, I recommend it and there is a way to keep the felt to make more or less thick lines.</v>
      </c>
    </row>
    <row r="4119">
      <c r="A4119" s="1">
        <v>2.0</v>
      </c>
      <c r="B4119" s="1" t="s">
        <v>4077</v>
      </c>
      <c r="C4119" t="str">
        <f>IFERROR(__xludf.DUMMYFUNCTION("GOOGLETRANSLATE(B4119, ""fr"", ""en"")"),"I do not recommend the scratching tissue after 10 minutes of training. My husband uses it more.")</f>
        <v>I do not recommend the scratching tissue after 10 minutes of training. My husband uses it more.</v>
      </c>
    </row>
    <row r="4120">
      <c r="A4120" s="1">
        <v>1.0</v>
      </c>
      <c r="B4120" s="1" t="s">
        <v>4078</v>
      </c>
      <c r="C4120" t="str">
        <f>IFERROR(__xludf.DUMMYFUNCTION("GOOGLETRANSLATE(B4120, ""fr"", ""en"")"),"Loose back, lost his ear in one day! The media did not fit and the earrings continued to fall. I tried to use several types of media that I had, but unfortunately, these earrings could not stay.")</f>
        <v>Loose back, lost his ear in one day! The media did not fit and the earrings continued to fall. I tried to use several types of media that I had, but unfortunately, these earrings could not stay.</v>
      </c>
    </row>
    <row r="4121">
      <c r="A4121" s="1">
        <v>1.0</v>
      </c>
      <c r="B4121" s="1" t="s">
        <v>4079</v>
      </c>
      <c r="C4121" t="str">
        <f>IFERROR(__xludf.DUMMYFUNCTION("GOOGLETRANSLATE(B4121, ""fr"", ""en"")"),"mouth print head these cartridges are compatible with my printer Pixma TS8000, but clog print head which requires a thorough cleaning before each page print")</f>
        <v>mouth print head these cartridges are compatible with my printer Pixma TS8000, but clog print head which requires a thorough cleaning before each page print</v>
      </c>
    </row>
    <row r="4122">
      <c r="A4122" s="1">
        <v>3.0</v>
      </c>
      <c r="B4122" s="1" t="s">
        <v>4080</v>
      </c>
      <c r="C4122" t="str">
        <f>IFERROR(__xludf.DUMMYFUNCTION("GOOGLETRANSLATE(B4122, ""fr"", ""en"")"),"My second pair of checkers I do not remember that they were also uncomfortable at first ... My first pair kept me 2 years dropped me (I wore them almost all the time every day, even a both holes) I do not know if it's the fact of being passed nike meantim"&amp;"e but the sole is not the most comfortable and I skated with a session and I have some very sorry for ... Well the city, forget for tricks")</f>
        <v>My second pair of checkers I do not remember that they were also uncomfortable at first ... My first pair kept me 2 years dropped me (I wore them almost all the time every day, even a both holes) I do not know if it's the fact of being passed nike meantime but the sole is not the most comfortable and I skated with a session and I have some very sorry for ... Well the city, forget for tricks</v>
      </c>
    </row>
    <row r="4123">
      <c r="A4123" s="1">
        <v>3.0</v>
      </c>
      <c r="B4123" s="1" t="s">
        <v>4081</v>
      </c>
      <c r="C4123" t="str">
        <f>IFERROR(__xludf.DUMMYFUNCTION("GOOGLETRANSLATE(B4123, ""fr"", ""en"")"),"It does the job but disappointed by the capacitance between the display and the reality it is marked 1.7L but in reality one can put it that one liter to thus heat a little disappointed about that but hey it does the job")</f>
        <v>It does the job but disappointed by the capacitance between the display and the reality it is marked 1.7L but in reality one can put it that one liter to thus heat a little disappointed about that but hey it does the job</v>
      </c>
    </row>
    <row r="4124">
      <c r="A4124" s="1">
        <v>4.0</v>
      </c>
      <c r="B4124" s="1" t="s">
        <v>4082</v>
      </c>
      <c r="C4124" t="str">
        <f>IFERROR(__xludf.DUMMYFUNCTION("GOOGLETRANSLATE(B4124, ""fr"", ""en"")"),"useful medium quality +")</f>
        <v>useful medium quality +</v>
      </c>
    </row>
    <row r="4125">
      <c r="A4125" s="1">
        <v>4.0</v>
      </c>
      <c r="B4125" s="1" t="s">
        <v>4083</v>
      </c>
      <c r="C4125" t="str">
        <f>IFERROR(__xludf.DUMMYFUNCTION("GOOGLETRANSLATE(B4125, ""fr"", ""en"")"),"Watch Lige sport black &amp; amp; gold Very good price / quality / style .. very elegant wrist")</f>
        <v>Watch Lige sport black &amp; amp; gold Very good price / quality / style .. very elegant wrist</v>
      </c>
    </row>
    <row r="4126">
      <c r="A4126" s="1">
        <v>4.0</v>
      </c>
      <c r="B4126" s="1" t="s">
        <v>4084</v>
      </c>
      <c r="C4126" t="str">
        <f>IFERROR(__xludf.DUMMYFUNCTION("GOOGLETRANSLATE(B4126, ""fr"", ""en"")"),"Very good hiking shoes very good performance, durable and comfortable This is already my 3rd pair of Columbia!")</f>
        <v>Very good hiking shoes very good performance, durable and comfortable This is already my 3rd pair of Columbia!</v>
      </c>
    </row>
    <row r="4127">
      <c r="A4127" s="1">
        <v>4.0</v>
      </c>
      <c r="B4127" s="1" t="s">
        <v>4085</v>
      </c>
      <c r="C4127" t="str">
        <f>IFERROR(__xludf.DUMMYFUNCTION("GOOGLETRANSLATE(B4127, ""fr"", ""en"")"),"a beautiful pendant cute snowflake making good for the price I paid (less than 20 €) Personally I carry on a real silver chain and it is not fake at all, very happy contrary my new snowflake")</f>
        <v>a beautiful pendant cute snowflake making good for the price I paid (less than 20 €) Personally I carry on a real silver chain and it is not fake at all, very happy contrary my new snowflake</v>
      </c>
    </row>
    <row r="4128">
      <c r="A4128" s="1">
        <v>5.0</v>
      </c>
      <c r="B4128" s="1" t="s">
        <v>4086</v>
      </c>
      <c r="C4128" t="str">
        <f>IFERROR(__xludf.DUMMYFUNCTION("GOOGLETRANSLATE(B4128, ""fr"", ""en"")"),"usefulness of essential oils! I have used this product for a toothache and it works .A drop on a cotton swab and apply to the tooth and gum!")</f>
        <v>usefulness of essential oils! I have used this product for a toothache and it works .A drop on a cotton swab and apply to the tooth and gum!</v>
      </c>
    </row>
    <row r="4129">
      <c r="A4129" s="1">
        <v>5.0</v>
      </c>
      <c r="B4129" s="1" t="s">
        <v>4087</v>
      </c>
      <c r="C4129" t="str">
        <f>IFERROR(__xludf.DUMMYFUNCTION("GOOGLETRANSLATE(B4129, ""fr"", ""en"")"),"Quality products ! I received my product with no problem, Aigle boots are good quality. For small size made against her attention. In any case if you are looking for good quality boots I recommend you. (Given that the price is not excessive for boots of t"&amp;"his quality.)")</f>
        <v>Quality products ! I received my product with no problem, Aigle boots are good quality. For small size made against her attention. In any case if you are looking for good quality boots I recommend you. (Given that the price is not excessive for boots of this quality.)</v>
      </c>
    </row>
    <row r="4130">
      <c r="A4130" s="1">
        <v>5.0</v>
      </c>
      <c r="B4130" s="1" t="s">
        <v>4088</v>
      </c>
      <c r="C4130" t="str">
        <f>IFERROR(__xludf.DUMMYFUNCTION("GOOGLETRANSLATE(B4130, ""fr"", ""en"")"),"Relaxation on top Brilliant! super relaxation product, top delivery and fast! I recommend ! zenatitude in sight!")</f>
        <v>Relaxation on top Brilliant! super relaxation product, top delivery and fast! I recommend ! zenatitude in sight!</v>
      </c>
    </row>
    <row r="4131">
      <c r="A4131" s="1">
        <v>5.0</v>
      </c>
      <c r="B4131" s="1" t="s">
        <v>4089</v>
      </c>
      <c r="C4131" t="str">
        <f>IFERROR(__xludf.DUMMYFUNCTION("GOOGLETRANSLATE(B4131, ""fr"", ""en"")"),"Top! The new balance small size but comfort quality at top")</f>
        <v>Top! The new balance small size but comfort quality at top</v>
      </c>
    </row>
    <row r="4132">
      <c r="A4132" s="1">
        <v>5.0</v>
      </c>
      <c r="B4132" s="1" t="s">
        <v>4090</v>
      </c>
      <c r="C4132" t="str">
        <f>IFERROR(__xludf.DUMMYFUNCTION("GOOGLETRANSLATE(B4132, ""fr"", ""en"")"),"This quality very efficient in sound and volume and quality at the price")</f>
        <v>This quality very efficient in sound and volume and quality at the price</v>
      </c>
    </row>
    <row r="4133">
      <c r="A4133" s="1">
        <v>5.0</v>
      </c>
      <c r="B4133" s="1" t="s">
        <v>4091</v>
      </c>
      <c r="C4133" t="str">
        <f>IFERROR(__xludf.DUMMYFUNCTION("GOOGLETRANSLATE(B4133, ""fr"", ""en"")"),"economic, not smudge or stain, erasable pen all in one that recharges very easily and contains an eraser. It is very pleasant to write with. More leak ink everywhere, burr and at lower cost. I highly recommend this range in all colors.")</f>
        <v>economic, not smudge or stain, erasable pen all in one that recharges very easily and contains an eraser. It is very pleasant to write with. More leak ink everywhere, burr and at lower cost. I highly recommend this range in all colors.</v>
      </c>
    </row>
    <row r="4134">
      <c r="A4134" s="1">
        <v>5.0</v>
      </c>
      <c r="B4134" s="1" t="s">
        <v>4092</v>
      </c>
      <c r="C4134" t="str">
        <f>IFERROR(__xludf.DUMMYFUNCTION("GOOGLETRANSLATE(B4134, ""fr"", ""en"")"),"super super headphones, good sound quality, bends easily. Ideal for limited budget. My teen son love the blue and does not break the ears with poor quality headphones, which we are forced to hard to hear the words.")</f>
        <v>super super headphones, good sound quality, bends easily. Ideal for limited budget. My teen son love the blue and does not break the ears with poor quality headphones, which we are forced to hard to hear the words.</v>
      </c>
    </row>
    <row r="4135">
      <c r="A4135" s="1">
        <v>5.0</v>
      </c>
      <c r="B4135" s="1" t="s">
        <v>4093</v>
      </c>
      <c r="C4135" t="str">
        <f>IFERROR(__xludf.DUMMYFUNCTION("GOOGLETRANSLATE(B4135, ""fr"", ""en"")"),"Very good article Article up to my expectations")</f>
        <v>Very good article Article up to my expectations</v>
      </c>
    </row>
    <row r="4136">
      <c r="A4136" s="1">
        <v>5.0</v>
      </c>
      <c r="B4136" s="1" t="s">
        <v>4094</v>
      </c>
      <c r="C4136" t="str">
        <f>IFERROR(__xludf.DUMMYFUNCTION("GOOGLETRANSLATE(B4136, ""fr"", ""en"")"),"Good triplex He is being asked :)")</f>
        <v>Good triplex He is being asked :)</v>
      </c>
    </row>
    <row r="4137">
      <c r="A4137" s="1">
        <v>5.0</v>
      </c>
      <c r="B4137" s="1" t="s">
        <v>4095</v>
      </c>
      <c r="C4137" t="str">
        <f>IFERROR(__xludf.DUMMYFUNCTION("GOOGLETRANSLATE(B4137, ""fr"", ""en"")"),"Nickel In time right size")</f>
        <v>Nickel In time right size</v>
      </c>
    </row>
    <row r="4138">
      <c r="A4138" s="1">
        <v>5.0</v>
      </c>
      <c r="B4138" s="1" t="s">
        <v>4096</v>
      </c>
      <c r="C4138" t="str">
        <f>IFERROR(__xludf.DUMMYFUNCTION("GOOGLETRANSLATE(B4138, ""fr"", ""en"")"),"comply comply with the description and good quality")</f>
        <v>comply comply with the description and good quality</v>
      </c>
    </row>
    <row r="4139">
      <c r="A4139" s="1">
        <v>5.0</v>
      </c>
      <c r="B4139" s="1" t="s">
        <v>4097</v>
      </c>
      <c r="C4139" t="str">
        <f>IFERROR(__xludf.DUMMYFUNCTION("GOOGLETRANSLATE(B4139, ""fr"", ""en"")"),"Comfortable and amplified sounds Wireless Headphones used for the tablet. Although this one is not of excellent quality, the headset solves the sound problem. It is quite light and comfortable to wear.")</f>
        <v>Comfortable and amplified sounds Wireless Headphones used for the tablet. Although this one is not of excellent quality, the headset solves the sound problem. It is quite light and comfortable to wear.</v>
      </c>
    </row>
    <row r="4140">
      <c r="A4140" s="1">
        <v>5.0</v>
      </c>
      <c r="B4140" s="1" t="s">
        <v>4098</v>
      </c>
      <c r="C4140" t="str">
        <f>IFERROR(__xludf.DUMMYFUNCTION("GOOGLETRANSLATE(B4140, ""fr"", ""en"")"),"Nikel got nothing to say in advance even even arrived in advance the size nikel I took the S / M and perfect normally I S and the color and skimpy little flat I thought the bottom was white but it is infact beige but nothing serious end well for me in the"&amp;" pictures we say white")</f>
        <v>Nikel got nothing to say in advance even even arrived in advance the size nikel I took the S / M and perfect normally I S and the color and skimpy little flat I thought the bottom was white but it is infact beige but nothing serious end well for me in the pictures we say white</v>
      </c>
    </row>
    <row r="4141">
      <c r="A4141" s="1">
        <v>5.0</v>
      </c>
      <c r="B4141" s="1" t="s">
        <v>4099</v>
      </c>
      <c r="C4141" t="str">
        <f>IFERROR(__xludf.DUMMYFUNCTION("GOOGLETRANSLATE(B4141, ""fr"", ""en"")"),"A wonderful gift idea !!! This sterilizer Babymoov turbo pure stands as a feeding bottle suitable for conversion shaft in a removable bell which can sterilize and / or dry up to 6 large bottles or accessories, a pump etc. This French-made product is guara"&amp;"nteed for life after registering on the site ... excellent. Simply fill the small reservoir of water and switch on the cycle to see bottles being sterilized 8 min at 95 degrees, must by clean against them before .. this is not a dishwasher !!! All the sam"&amp;"e !! An alarm warns you of the end ... the machine can keep bottles ... it stops Alone !! I particularly enjoyed the nozzles that go to the ends of the branches ensuring access of steam at the bottom of the bottle back on it ... an excellent point. The de"&amp;"vice is not small but what a time saver with a new born to a young mother sometimes a little lost ... a cycle of 8 minutes and include sterile bottles or other programmable choice from 30 to 45 min for sterile and dry !! No more worries about infant safet"&amp;"y !! An honors the hepatitis filter located under the device ensuring top quality filtering incoming air .. Its use does not last long but it is certainly a plus. With 4 kids, we lapped but my husband would have enjoyed this unit with our older so he was "&amp;"lost and tired on arrival maternity !! The device is certainly not cheap, but worth the investment, given the services rendered and the time saved. A great gift idea !!! If this assessment could help you, Likez if bous had any questions, do not hesitate t"&amp;"o ask them, thank you.")</f>
        <v>A wonderful gift idea !!! This sterilizer Babymoov turbo pure stands as a feeding bottle suitable for conversion shaft in a removable bell which can sterilize and / or dry up to 6 large bottles or accessories, a pump etc. This French-made product is guaranteed for life after registering on the site ... excellent. Simply fill the small reservoir of water and switch on the cycle to see bottles being sterilized 8 min at 95 degrees, must by clean against them before .. this is not a dishwasher !!! All the same !! An alarm warns you of the end ... the machine can keep bottles ... it stops Alone !! I particularly enjoyed the nozzles that go to the ends of the branches ensuring access of steam at the bottom of the bottle back on it ... an excellent point. The device is not small but what a time saver with a new born to a young mother sometimes a little lost ... a cycle of 8 minutes and include sterile bottles or other programmable choice from 30 to 45 min for sterile and dry !! No more worries about infant safety !! An honors the hepatitis filter located under the device ensuring top quality filtering incoming air .. Its use does not last long but it is certainly a plus. With 4 kids, we lapped but my husband would have enjoyed this unit with our older so he was lost and tired on arrival maternity !! The device is certainly not cheap, but worth the investment, given the services rendered and the time saved. A great gift idea !!! If this assessment could help you, Likez if bous had any questions, do not hesitate to ask them, thank you.</v>
      </c>
    </row>
    <row r="4142">
      <c r="A4142" s="1">
        <v>5.0</v>
      </c>
      <c r="B4142" s="1" t="s">
        <v>4100</v>
      </c>
      <c r="C4142" t="str">
        <f>IFERROR(__xludf.DUMMYFUNCTION("GOOGLETRANSLATE(B4142, ""fr"", ""en"")"),"Brilliant Color This clock is very well thought out. Radio captures well the sound is good and the different lights are very soft. I love my new alarm clock")</f>
        <v>Brilliant Color This clock is very well thought out. Radio captures well the sound is good and the different lights are very soft. I love my new alarm clock</v>
      </c>
    </row>
    <row r="4143">
      <c r="A4143" s="1">
        <v>2.0</v>
      </c>
      <c r="B4143" s="1" t="s">
        <v>4101</v>
      </c>
      <c r="C4143" t="str">
        <f>IFERROR(__xludf.DUMMYFUNCTION("GOOGLETRANSLATE(B4143, ""fr"", ""en"")"),"Good but does not work after 2 months After envriron 2 months of use, the dial to the sound on the headphones stopped working, it turns into the void, result, no more sound from the headphones, I do not know what to do ...")</f>
        <v>Good but does not work after 2 months After envriron 2 months of use, the dial to the sound on the headphones stopped working, it turns into the void, result, no more sound from the headphones, I do not know what to do ...</v>
      </c>
    </row>
    <row r="4144">
      <c r="A4144" s="1">
        <v>1.0</v>
      </c>
      <c r="B4144" s="1" t="s">
        <v>4102</v>
      </c>
      <c r="C4144" t="str">
        <f>IFERROR(__xludf.DUMMYFUNCTION("GOOGLETRANSLATE(B4144, ""fr"", ""en"")"),"That sucks Poor Article")</f>
        <v>That sucks Poor Article</v>
      </c>
    </row>
    <row r="4145">
      <c r="A4145" s="1">
        <v>1.0</v>
      </c>
      <c r="B4145" s="1" t="s">
        <v>4103</v>
      </c>
      <c r="C4145" t="str">
        <f>IFERROR(__xludf.DUMMYFUNCTION("GOOGLETRANSLATE(B4145, ""fr"", ""en"")"),"Disappointed Disappointed with my purchase, noisy coffee and not very stable, this article does not deserve better than a star")</f>
        <v>Disappointed Disappointed with my purchase, noisy coffee and not very stable, this article does not deserve better than a star</v>
      </c>
    </row>
    <row r="4146">
      <c r="A4146" s="1">
        <v>3.0</v>
      </c>
      <c r="B4146" s="1" t="s">
        <v>4104</v>
      </c>
      <c r="C4146" t="str">
        <f>IFERROR(__xludf.DUMMYFUNCTION("GOOGLETRANSLATE(B4146, ""fr"", ""en"")"),"Consumes a lot of petrol .... Small handy warmer in winter ....")</f>
        <v>Consumes a lot of petrol .... Small handy warmer in winter ....</v>
      </c>
    </row>
    <row r="4147">
      <c r="A4147" s="1">
        <v>4.0</v>
      </c>
      <c r="B4147" s="1" t="s">
        <v>4105</v>
      </c>
      <c r="C4147" t="str">
        <f>IFERROR(__xludf.DUMMYFUNCTION("GOOGLETRANSLATE(B4147, ""fr"", ""en"")"),"Pretty holding comfortable interior, large size thanks to buyer feedback, I ordered one size bigger, which is perfect! Keeping comfortable inside, I immediately order another color.")</f>
        <v>Pretty holding comfortable interior, large size thanks to buyer feedback, I ordered one size bigger, which is perfect! Keeping comfortable inside, I immediately order another color.</v>
      </c>
    </row>
    <row r="4148">
      <c r="A4148" s="1">
        <v>4.0</v>
      </c>
      <c r="B4148" s="1" t="s">
        <v>4106</v>
      </c>
      <c r="C4148" t="str">
        <f>IFERROR(__xludf.DUMMYFUNCTION("GOOGLETRANSLATE(B4148, ""fr"", ""en"")"),"Superb lamp beautiful product that delights a child. It seems quality and solid. 3 intensities of light for reading and beautiful colors of night. Arrival perfectly packed in its box and quickly. Unfortunately, after 2 weeks of use, the plug was heated an"&amp;"d the lamp has burnt. Beautiful disappointment, I refer the product. Following this problem, the seller service is very responsive, I quickly received a code for a free new lamp. It works perfectly")</f>
        <v>Superb lamp beautiful product that delights a child. It seems quality and solid. 3 intensities of light for reading and beautiful colors of night. Arrival perfectly packed in its box and quickly. Unfortunately, after 2 weeks of use, the plug was heated and the lamp has burnt. Beautiful disappointment, I refer the product. Following this problem, the seller service is very responsive, I quickly received a code for a free new lamp. It works perfectly</v>
      </c>
    </row>
    <row r="4149">
      <c r="A4149" s="1">
        <v>4.0</v>
      </c>
      <c r="B4149" s="1" t="s">
        <v>4107</v>
      </c>
      <c r="C4149" t="str">
        <f>IFERROR(__xludf.DUMMYFUNCTION("GOOGLETRANSLATE(B4149, ""fr"", ""en"")"),"Good value but not of the same quality as the original I bought these cartridges to replace those origins that were empty. In terms of longevity I have not enough experience to judge. They are well recognized but the quality of the ink is not like the ori"&amp;"ginal, the colors are less vivid, the result is not the same. Good! after this pack of cartridges costs the price of a single original cartridge. So its still ok for the price. The advantage is that it contains the same gray that is quite rare in other su"&amp;"bstitution packages. I'm fairly satisfied with my purchase. If my opinion was useful to you, please let me know by clicking USEFUL")</f>
        <v>Good value but not of the same quality as the original I bought these cartridges to replace those origins that were empty. In terms of longevity I have not enough experience to judge. They are well recognized but the quality of the ink is not like the original, the colors are less vivid, the result is not the same. Good! after this pack of cartridges costs the price of a single original cartridge. So its still ok for the price. The advantage is that it contains the same gray that is quite rare in other substitution packages. I'm fairly satisfied with my purchase. If my opinion was useful to you, please let me know by clicking USEFUL</v>
      </c>
    </row>
    <row r="4150">
      <c r="A4150" s="1">
        <v>4.0</v>
      </c>
      <c r="B4150" s="1" t="s">
        <v>4108</v>
      </c>
      <c r="C4150" t="str">
        <f>IFERROR(__xludf.DUMMYFUNCTION("GOOGLETRANSLATE(B4150, ""fr"", ""en"")"),"Super very effective adhesion to attach anything to the wall, a 2-3kg frame for me. But poir the price I would have liked more in length.")</f>
        <v>Super very effective adhesion to attach anything to the wall, a 2-3kg frame for me. But poir the price I would have liked more in length.</v>
      </c>
    </row>
    <row r="4151">
      <c r="A4151" s="1">
        <v>5.0</v>
      </c>
      <c r="B4151" s="1" t="s">
        <v>4109</v>
      </c>
      <c r="C4151" t="str">
        <f>IFERROR(__xludf.DUMMYFUNCTION("GOOGLETRANSLATE(B4151, ""fr"", ""en"")"),"CASIO J'ADORE I was looking for this product for lontemps (I have had several, but is the strap broke (I made to another) or the battery was nase.. So, rather than ""doing"" fix (new bracelet + new battery) I'm bought a new SUPER and I LOVE")</f>
        <v>CASIO J'ADORE I was looking for this product for lontemps (I have had several, but is the strap broke (I made to another) or the battery was nase.. So, rather than "doing" fix (new bracelet + new battery) I'm bought a new SUPER and I LOVE</v>
      </c>
    </row>
    <row r="4152">
      <c r="A4152" s="1">
        <v>5.0</v>
      </c>
      <c r="B4152" s="1" t="s">
        <v>4110</v>
      </c>
      <c r="C4152" t="str">
        <f>IFERROR(__xludf.DUMMYFUNCTION("GOOGLETRANSLATE(B4152, ""fr"", ""en"")"),"Pretty Bra Sports The sports bras are well and are beautiful material. I would say it has a light support means depending on the size of your bust. I would buy again.")</f>
        <v>Pretty Bra Sports The sports bras are well and are beautiful material. I would say it has a light support means depending on the size of your bust. I would buy again.</v>
      </c>
    </row>
    <row r="4153">
      <c r="A4153" s="1">
        <v>5.0</v>
      </c>
      <c r="B4153" s="1" t="s">
        <v>4111</v>
      </c>
      <c r="C4153" t="str">
        <f>IFERROR(__xludf.DUMMYFUNCTION("GOOGLETRANSLATE(B4153, ""fr"", ""en"")"),"Excellent product excellent product with incredible value ratio. Battery lasts super long, reduced external noise, good sound quality. I recommend 100%")</f>
        <v>Excellent product excellent product with incredible value ratio. Battery lasts super long, reduced external noise, good sound quality. I recommend 100%</v>
      </c>
    </row>
    <row r="4154">
      <c r="A4154" s="1">
        <v>5.0</v>
      </c>
      <c r="B4154" s="1" t="s">
        <v>4112</v>
      </c>
      <c r="C4154" t="str">
        <f>IFERROR(__xludf.DUMMYFUNCTION("GOOGLETRANSLATE(B4154, ""fr"", ""en"")"),"Price compliant product similar to that of the large pharmacy durability.")</f>
        <v>Price compliant product similar to that of the large pharmacy durability.</v>
      </c>
    </row>
    <row r="4155">
      <c r="A4155" s="1">
        <v>5.0</v>
      </c>
      <c r="B4155" s="1" t="s">
        <v>4113</v>
      </c>
      <c r="C4155" t="str">
        <f>IFERROR(__xludf.DUMMYFUNCTION("GOOGLETRANSLATE(B4155, ""fr"", ""en"")"),"Value very compact packaging, easy installation, nice lighting through its different brightness modes (suitable for normal lighting, reading corner chair ...). primary end but very design amount! Very good value for money, I'm happy!")</f>
        <v>Value very compact packaging, easy installation, nice lighting through its different brightness modes (suitable for normal lighting, reading corner chair ...). primary end but very design amount! Very good value for money, I'm happy!</v>
      </c>
    </row>
    <row r="4156">
      <c r="A4156" s="1">
        <v>5.0</v>
      </c>
      <c r="B4156" s="1" t="s">
        <v>4114</v>
      </c>
      <c r="C4156" t="str">
        <f>IFERROR(__xludf.DUMMYFUNCTION("GOOGLETRANSLATE(B4156, ""fr"", ""en"")"),"Weekly good size 3 years I take the same agenda, neither too large nor too small. Perfect!")</f>
        <v>Weekly good size 3 years I take the same agenda, neither too large nor too small. Perfect!</v>
      </c>
    </row>
    <row r="4157">
      <c r="A4157" s="1">
        <v>5.0</v>
      </c>
      <c r="B4157" s="1" t="s">
        <v>4115</v>
      </c>
      <c r="C4157" t="str">
        <f>IFERROR(__xludf.DUMMYFUNCTION("GOOGLETRANSLATE(B4157, ""fr"", ""en"")"),"I love Amazon Frankly tooop jador Amazon")</f>
        <v>I love Amazon Frankly tooop jador Amazon</v>
      </c>
    </row>
    <row r="4158">
      <c r="A4158" s="1">
        <v>5.0</v>
      </c>
      <c r="B4158" s="1" t="s">
        <v>4116</v>
      </c>
      <c r="C4158" t="str">
        <f>IFERROR(__xludf.DUMMYFUNCTION("GOOGLETRANSLATE(B4158, ""fr"", ""en"")"),"Great Legging great for sports or other activities. I put the first time to go to the ropes and I was very comfortable. I play 42, so I ordered a Large leggings and size was perfect. There is also a small pocket on each side to be able to put his phone wh"&amp;"ere player. The legging is just great! I recommend me !!")</f>
        <v>Great Legging great for sports or other activities. I put the first time to go to the ropes and I was very comfortable. I play 42, so I ordered a Large leggings and size was perfect. There is also a small pocket on each side to be able to put his phone where player. The legging is just great! I recommend me !!</v>
      </c>
    </row>
    <row r="4159">
      <c r="A4159" s="1">
        <v>5.0</v>
      </c>
      <c r="B4159" s="1" t="s">
        <v>4117</v>
      </c>
      <c r="C4159" t="str">
        <f>IFERROR(__xludf.DUMMYFUNCTION("GOOGLETRANSLATE(B4159, ""fr"", ""en"")"),"Genuine Cartridge Original HP cartridge, so no compatibility problems or even error message on the printer. I recommend to take 2 small cartridge rather than 1 XL, because the price is almost the same. The advantage is to have a new print head every cartr"&amp;"idge, and we all know that the ink in these cartridges dry quickly if the use that occasionally, so having 2 small cartridges instead of one big is really an advantage.")</f>
        <v>Genuine Cartridge Original HP cartridge, so no compatibility problems or even error message on the printer. I recommend to take 2 small cartridge rather than 1 XL, because the price is almost the same. The advantage is to have a new print head every cartridge, and we all know that the ink in these cartridges dry quickly if the use that occasionally, so having 2 small cartridges instead of one big is really an advantage.</v>
      </c>
    </row>
    <row r="4160">
      <c r="A4160" s="1">
        <v>5.0</v>
      </c>
      <c r="B4160" s="1" t="s">
        <v>1687</v>
      </c>
      <c r="C4160" t="str">
        <f>IFERROR(__xludf.DUMMYFUNCTION("GOOGLETRANSLATE(B4160, ""fr"", ""en"")"),"Super Super")</f>
        <v>Super Super</v>
      </c>
    </row>
    <row r="4161">
      <c r="A4161" s="1">
        <v>5.0</v>
      </c>
      <c r="B4161" s="1" t="s">
        <v>4118</v>
      </c>
      <c r="C4161" t="str">
        <f>IFERROR(__xludf.DUMMYFUNCTION("GOOGLETRANSLATE(B4161, ""fr"", ""en"")"),"it stings but it's great I love it ... I use it almost every day. I do not really know if the benefits or not ... I've had several months, but I like to lie down on it. Hard to move over in underwear because it stings, so I put a little short. I feel my p"&amp;"ulse pounding in my back in my body, and then a warm sensation and wellbeing. I did try to friends who did not like because it stings a lot and do not manage to stay a few seconds. Personally, I put it on my bed and I lay me over 30 minutes per day approx"&amp;"imately. It relieves me especially when I have a headache. The quills are hard, it's plastic. They make me a mark in the back and it's red for a few minutes. I have not tried yet the wash. By cons I have Cats, and hair like stick to the fabric ^^. There i"&amp;"s a bag for storage is convenient")</f>
        <v>it stings but it's great I love it ... I use it almost every day. I do not really know if the benefits or not ... I've had several months, but I like to lie down on it. Hard to move over in underwear because it stings, so I put a little short. I feel my pulse pounding in my back in my body, and then a warm sensation and wellbeing. I did try to friends who did not like because it stings a lot and do not manage to stay a few seconds. Personally, I put it on my bed and I lay me over 30 minutes per day approximately. It relieves me especially when I have a headache. The quills are hard, it's plastic. They make me a mark in the back and it's red for a few minutes. I have not tried yet the wash. By cons I have Cats, and hair like stick to the fabric ^^. There is a bag for storage is convenient</v>
      </c>
    </row>
    <row r="4162">
      <c r="A4162" s="1">
        <v>5.0</v>
      </c>
      <c r="B4162" s="1" t="s">
        <v>4119</v>
      </c>
      <c r="C4162" t="str">
        <f>IFERROR(__xludf.DUMMYFUNCTION("GOOGLETRANSLATE(B4162, ""fr"", ""en"")"),"This show is almost a professional tool that has no vocation to be noticed. It allows to navigate in time easily with proper accuracy. different hardness of the glasses would be appreciated for the same model limited to scratches")</f>
        <v>This show is almost a professional tool that has no vocation to be noticed. It allows to navigate in time easily with proper accuracy. different hardness of the glasses would be appreciated for the same model limited to scratches</v>
      </c>
    </row>
    <row r="4163">
      <c r="A4163" s="1">
        <v>5.0</v>
      </c>
      <c r="B4163" s="1" t="s">
        <v>4120</v>
      </c>
      <c r="C4163" t="str">
        <f>IFERROR(__xludf.DUMMYFUNCTION("GOOGLETRANSLATE(B4163, ""fr"", ""en"")"),"Good article I bought all the collection level 1. My daughter loves, very easy to read! I recommend.")</f>
        <v>Good article I bought all the collection level 1. My daughter loves, very easy to read! I recommend.</v>
      </c>
    </row>
    <row r="4164">
      <c r="A4164" s="1">
        <v>5.0</v>
      </c>
      <c r="B4164" s="1" t="s">
        <v>4121</v>
      </c>
      <c r="C4164" t="str">
        <f>IFERROR(__xludf.DUMMYFUNCTION("GOOGLETRANSLATE(B4164, ""fr"", ""en"")"),"Super Size properly sized perfectly - Next day delivery, perfect packaging in box vans.")</f>
        <v>Super Size properly sized perfectly - Next day delivery, perfect packaging in box vans.</v>
      </c>
    </row>
    <row r="4165">
      <c r="A4165" s="1">
        <v>5.0</v>
      </c>
      <c r="B4165" s="1" t="s">
        <v>4122</v>
      </c>
      <c r="C4165" t="str">
        <f>IFERROR(__xludf.DUMMYFUNCTION("GOOGLETRANSLATE(B4165, ""fr"", ""en"")"),"It s convenient damaged quickly at the solid wire not strengthen")</f>
        <v>It s convenient damaged quickly at the solid wire not strengthen</v>
      </c>
    </row>
    <row r="4166">
      <c r="A4166" s="1">
        <v>2.0</v>
      </c>
      <c r="B4166" s="1" t="s">
        <v>4123</v>
      </c>
      <c r="C4166" t="str">
        <f>IFERROR(__xludf.DUMMYFUNCTION("GOOGLETRANSLATE(B4166, ""fr"", ""en"")"),"Disappointed :( The material is nice, lace corresponds to what is seen in the picture. By cons is neither more nor less than a bra, the two strips lace tie have no interest apart that of having to be attached and wasting time. This is clearly not keeping "&amp;"bra for sports, he will serve me at best to hold hotter than a bra in winter ... the two shells are great visible under the fabric, especially as I took the white color. Size XXL impeccable for the 105D by cons. in short, it's not bad as a t-shirt to walk"&amp;" the dogs, but no more ...")</f>
        <v>Disappointed :( The material is nice, lace corresponds to what is seen in the picture. By cons is neither more nor less than a bra, the two strips lace tie have no interest apart that of having to be attached and wasting time. This is clearly not keeping bra for sports, he will serve me at best to hold hotter than a bra in winter ... the two shells are great visible under the fabric, especially as I took the white color. Size XXL impeccable for the 105D by cons. in short, it's not bad as a t-shirt to walk the dogs, but no more ...</v>
      </c>
    </row>
    <row r="4167">
      <c r="A4167" s="1">
        <v>1.0</v>
      </c>
      <c r="B4167" s="1" t="s">
        <v>4124</v>
      </c>
      <c r="C4167" t="str">
        <f>IFERROR(__xludf.DUMMYFUNCTION("GOOGLETRANSLATE(B4167, ""fr"", ""en"")"),"Color sustainable NO ... in 1 month only! It says ""lasting color"" for version ""rose gold"": unfortunately wrong for my watch! :( Received June 21, the color pink is already disappearing. I work on a computer all day. I guess it's because the strap rubb"&amp;"ing on the desktop. For the rest, everything was in line with my expectations, I 'was totally satisfied (sealing side, no idea because not tested). Considering the other satisfied comments, I do not know if this is an isolated case ... so, I'll test their"&amp;" service.")</f>
        <v>Color sustainable NO ... in 1 month only! It says "lasting color" for version "rose gold": unfortunately wrong for my watch! :( Received June 21, the color pink is already disappearing. I work on a computer all day. I guess it's because the strap rubbing on the desktop. For the rest, everything was in line with my expectations, I 'was totally satisfied (sealing side, no idea because not tested). Considering the other satisfied comments, I do not know if this is an isolated case ... so, I'll test their service.</v>
      </c>
    </row>
    <row r="4168">
      <c r="A4168" s="1">
        <v>3.0</v>
      </c>
      <c r="B4168" s="1" t="s">
        <v>4125</v>
      </c>
      <c r="C4168" t="str">
        <f>IFERROR(__xludf.DUMMYFUNCTION("GOOGLETRANSLATE(B4168, ""fr"", ""en"")"),"For parents who prefer glass bottles Comment of a friend to whom I offered these bottles. Quality Level nothing wrong bottle glass is really more fun and is not found dangerous baby products, by quickly against the glass heated in the bottle warmer so you"&amp;" have to be more vigilant. The teat is ideal for babies who are breastfed or mixed, form is well studied. Like many bottles they benefit from an anti colic option anymore. Finally for cleaning is the negative point is spending more time than conventional "&amp;"bottles that go in the dishwasher. Overall a good product I recommend to parents who prefer glass bottles. I was convinced by the MAM brand which is really convenient. bottles pass aulave dishwasher and sterilize in the microwave a mega time saver!")</f>
        <v>For parents who prefer glass bottles Comment of a friend to whom I offered these bottles. Quality Level nothing wrong bottle glass is really more fun and is not found dangerous baby products, by quickly against the glass heated in the bottle warmer so you have to be more vigilant. The teat is ideal for babies who are breastfed or mixed, form is well studied. Like many bottles they benefit from an anti colic option anymore. Finally for cleaning is the negative point is spending more time than conventional bottles that go in the dishwasher. Overall a good product I recommend to parents who prefer glass bottles. I was convinced by the MAM brand which is really convenient. bottles pass aulave dishwasher and sterilize in the microwave a mega time saver!</v>
      </c>
    </row>
    <row r="4169">
      <c r="A4169" s="1">
        <v>3.0</v>
      </c>
      <c r="B4169" s="1" t="s">
        <v>4126</v>
      </c>
      <c r="C4169" t="str">
        <f>IFERROR(__xludf.DUMMYFUNCTION("GOOGLETRANSLATE(B4169, ""fr"", ""en"")"),"This small size small size Article")</f>
        <v>This small size small size Article</v>
      </c>
    </row>
    <row r="4170">
      <c r="A4170" s="1">
        <v>4.0</v>
      </c>
      <c r="B4170" s="1" t="s">
        <v>4127</v>
      </c>
      <c r="C4170" t="str">
        <f>IFERROR(__xludf.DUMMYFUNCTION("GOOGLETRANSLATE(B4170, ""fr"", ""en"")"),"Too good Super nice")</f>
        <v>Too good Super nice</v>
      </c>
    </row>
    <row r="4171">
      <c r="A4171" s="1">
        <v>4.0</v>
      </c>
      <c r="B4171" s="1" t="s">
        <v>4128</v>
      </c>
      <c r="C4171" t="str">
        <f>IFERROR(__xludf.DUMMYFUNCTION("GOOGLETRANSLATE(B4171, ""fr"", ""en"")"),"Rather shoes cities sports ... The coating on tiptoe, with leather look around and it marks easily with dust. But I'm comfortable for everyday life. For intensive sport, the sole seems a little thin for my taste.")</f>
        <v>Rather shoes cities sports ... The coating on tiptoe, with leather look around and it marks easily with dust. But I'm comfortable for everyday life. For intensive sport, the sole seems a little thin for my taste.</v>
      </c>
    </row>
    <row r="4172">
      <c r="A4172" s="1">
        <v>4.0</v>
      </c>
      <c r="B4172" s="1" t="s">
        <v>4129</v>
      </c>
      <c r="C4172" t="str">
        <f>IFERROR(__xludf.DUMMYFUNCTION("GOOGLETRANSLATE(B4172, ""fr"", ""en"")"),"Very clean Unlike other boxes tellers need to move to be able to pay on those each one has an independent opening is convenient and hygienic. In time the small plastic pieces are broken but it is not annoying.")</f>
        <v>Very clean Unlike other boxes tellers need to move to be able to pay on those each one has an independent opening is convenient and hygienic. In time the small plastic pieces are broken but it is not annoying.</v>
      </c>
    </row>
    <row r="4173">
      <c r="A4173" s="1">
        <v>4.0</v>
      </c>
      <c r="B4173" s="1" t="s">
        <v>4130</v>
      </c>
      <c r="C4173" t="str">
        <f>IFERROR(__xludf.DUMMYFUNCTION("GOOGLETRANSLATE(B4173, ""fr"", ""en"")"),"This sweater is really good, a single exeption This sweater is really good, a single exception, I believe it is slightly too wide at the bottom, but at the shoulders and pecs is good.")</f>
        <v>This sweater is really good, a single exeption This sweater is really good, a single exception, I believe it is slightly too wide at the bottom, but at the shoulders and pecs is good.</v>
      </c>
    </row>
    <row r="4174">
      <c r="A4174" s="1">
        <v>5.0</v>
      </c>
      <c r="B4174" s="1" t="s">
        <v>4131</v>
      </c>
      <c r="C4174" t="str">
        <f>IFERROR(__xludf.DUMMYFUNCTION("GOOGLETRANSLATE(B4174, ""fr"", ""en"")"),"This is perfect Nothing to say, it plays the role it should play no problem suddenly nothing to say it holds well on my Rhode")</f>
        <v>This is perfect Nothing to say, it plays the role it should play no problem suddenly nothing to say it holds well on my Rhode</v>
      </c>
    </row>
    <row r="4175">
      <c r="A4175" s="1">
        <v>5.0</v>
      </c>
      <c r="B4175" s="1" t="s">
        <v>4132</v>
      </c>
      <c r="C4175" t="str">
        <f>IFERROR(__xludf.DUMMYFUNCTION("GOOGLETRANSLATE(B4175, ""fr"", ""en"")"),"Perfect I am very satisfied. I use for several years, but the problem was that in supermarkets this is not always available.")</f>
        <v>Perfect I am very satisfied. I use for several years, but the problem was that in supermarkets this is not always available.</v>
      </c>
    </row>
    <row r="4176">
      <c r="A4176" s="1">
        <v>5.0</v>
      </c>
      <c r="B4176" s="1" t="s">
        <v>4133</v>
      </c>
      <c r="C4176" t="str">
        <f>IFERROR(__xludf.DUMMYFUNCTION("GOOGLETRANSLATE(B4176, ""fr"", ""en"")"),"Sweatshirt cutest my husband was very happy as he has already started and of course wash before putting")</f>
        <v>Sweatshirt cutest my husband was very happy as he has already started and of course wash before putting</v>
      </c>
    </row>
    <row r="4177">
      <c r="A4177" s="1">
        <v>5.0</v>
      </c>
      <c r="B4177" s="1" t="s">
        <v>508</v>
      </c>
      <c r="C4177" t="str">
        <f>IFERROR(__xludf.DUMMYFUNCTION("GOOGLETRANSLATE(B4177, ""fr"", ""en"")"),"Very well very well")</f>
        <v>Very well very well</v>
      </c>
    </row>
    <row r="4178">
      <c r="A4178" s="1">
        <v>5.0</v>
      </c>
      <c r="B4178" s="1" t="s">
        <v>4134</v>
      </c>
      <c r="C4178" t="str">
        <f>IFERROR(__xludf.DUMMYFUNCTION("GOOGLETRANSLATE(B4178, ""fr"", ""en"")"),"Good quality I served myself of this cable to connect the LEDs together. Nothing to say, it fills very well its cable function.")</f>
        <v>Good quality I served myself of this cable to connect the LEDs together. Nothing to say, it fills very well its cable function.</v>
      </c>
    </row>
    <row r="4179">
      <c r="A4179" s="1">
        <v>5.0</v>
      </c>
      <c r="B4179" s="1" t="s">
        <v>4135</v>
      </c>
      <c r="C4179" t="str">
        <f>IFERROR(__xludf.DUMMYFUNCTION("GOOGLETRANSLATE(B4179, ""fr"", ""en"")"),"beauty charm jewelry what fairyland what brilliance Beautiful")</f>
        <v>beauty charm jewelry what fairyland what brilliance Beautiful</v>
      </c>
    </row>
    <row r="4180">
      <c r="A4180" s="1">
        <v>5.0</v>
      </c>
      <c r="B4180" s="1" t="s">
        <v>4136</v>
      </c>
      <c r="C4180" t="str">
        <f>IFERROR(__xludf.DUMMYFUNCTION("GOOGLETRANSLATE(B4180, ""fr"", ""en"")"),"Gifts for a friend Pretty watch - my friend was delighted with the gift")</f>
        <v>Gifts for a friend Pretty watch - my friend was delighted with the gift</v>
      </c>
    </row>
    <row r="4181">
      <c r="A4181" s="1">
        <v>5.0</v>
      </c>
      <c r="B4181" s="1" t="s">
        <v>4137</v>
      </c>
      <c r="C4181" t="str">
        <f>IFERROR(__xludf.DUMMYFUNCTION("GOOGLETRANSLATE(B4181, ""fr"", ""en"")"),"Excellent Excellent")</f>
        <v>Excellent Excellent</v>
      </c>
    </row>
    <row r="4182">
      <c r="A4182" s="1">
        <v>5.0</v>
      </c>
      <c r="B4182" s="1" t="s">
        <v>4138</v>
      </c>
      <c r="C4182" t="str">
        <f>IFERROR(__xludf.DUMMYFUNCTION("GOOGLETRANSLATE(B4182, ""fr"", ""en"")"),"Highly effective Works great, easy to use. I recommend")</f>
        <v>Highly effective Works great, easy to use. I recommend</v>
      </c>
    </row>
    <row r="4183">
      <c r="A4183" s="1">
        <v>5.0</v>
      </c>
      <c r="B4183" s="1" t="s">
        <v>4139</v>
      </c>
      <c r="C4183" t="str">
        <f>IFERROR(__xludf.DUMMYFUNCTION("GOOGLETRANSLATE(B4183, ""fr"", ""en"")"),"nickel Very practical, can give pieces of fresh fruit and baby leave the nibble safely. the net is very fine, no song goes, consider this more as a ""juice dispenser nibbling"" than a fruit pieces dispenser. So great Secure. provide a ""solid"" bib per co"&amp;"ns! because baby will everywhere, but ours is really happy !!! ;-)")</f>
        <v>nickel Very practical, can give pieces of fresh fruit and baby leave the nibble safely. the net is very fine, no song goes, consider this more as a "juice dispenser nibbling" than a fruit pieces dispenser. So great Secure. provide a "solid" bib per cons! because baby will everywhere, but ours is really happy !!! ;-)</v>
      </c>
    </row>
    <row r="4184">
      <c r="A4184" s="1">
        <v>5.0</v>
      </c>
      <c r="B4184" s="1" t="s">
        <v>4140</v>
      </c>
      <c r="C4184" t="str">
        <f>IFERROR(__xludf.DUMMYFUNCTION("GOOGLETRANSLATE(B4184, ""fr"", ""en"")"),"Quality I hesitated to take them and finally not at all disappointed. The sound quality is very good I love listening to my music. The touch is well thought, I can pause or change while continuing my jogging. It can also charge are phone with the case in "&amp;"case of emergency. Little more battery level is displayed above and deliver with a storage bag. Small, discreet and wish well to the ear.")</f>
        <v>Quality I hesitated to take them and finally not at all disappointed. The sound quality is very good I love listening to my music. The touch is well thought, I can pause or change while continuing my jogging. It can also charge are phone with the case in case of emergency. Little more battery level is displayed above and deliver with a storage bag. Small, discreet and wish well to the ear.</v>
      </c>
    </row>
    <row r="4185">
      <c r="A4185" s="1">
        <v>5.0</v>
      </c>
      <c r="B4185" s="1" t="s">
        <v>4141</v>
      </c>
      <c r="C4185" t="str">
        <f>IFERROR(__xludf.DUMMYFUNCTION("GOOGLETRANSLATE(B4185, ""fr"", ""en"")"),"Nice and comfortable! sports leggings, black with white stripes and Parma. 83% polyester and 17% elastane, so very very comfortable. Well cut, well finished. its size is high, it remains in place. Not moved nor wash or tumble dry. A small pocket for keys "&amp;"or such. for n 'any sport. Adopted!")</f>
        <v>Nice and comfortable! sports leggings, black with white stripes and Parma. 83% polyester and 17% elastane, so very very comfortable. Well cut, well finished. its size is high, it remains in place. Not moved nor wash or tumble dry. A small pocket for keys or such. for n 'any sport. Adopted!</v>
      </c>
    </row>
    <row r="4186">
      <c r="A4186" s="1">
        <v>5.0</v>
      </c>
      <c r="B4186" s="1" t="s">
        <v>4142</v>
      </c>
      <c r="C4186" t="str">
        <f>IFERROR(__xludf.DUMMYFUNCTION("GOOGLETRANSLATE(B4186, ""fr"", ""en"")"),"I use quality shoes every day, they are the right size and warm. I recommend")</f>
        <v>I use quality shoes every day, they are the right size and warm. I recommend</v>
      </c>
    </row>
    <row r="4187">
      <c r="A4187" s="1">
        <v>5.0</v>
      </c>
      <c r="B4187" s="1" t="s">
        <v>4143</v>
      </c>
      <c r="C4187" t="str">
        <f>IFERROR(__xludf.DUMMYFUNCTION("GOOGLETRANSLATE(B4187, ""fr"", ""en"")"),"perfect watch! Summer or Winter Time automatically. Awesome ! No need to go, no battery needed for solar watch. Awesome ! Aesthetic with digital or analog reading. What's more, frankly? I highly recommend, and fast delivery, +.")</f>
        <v>perfect watch! Summer or Winter Time automatically. Awesome ! No need to go, no battery needed for solar watch. Awesome ! Aesthetic with digital or analog reading. What's more, frankly? I highly recommend, and fast delivery, +.</v>
      </c>
    </row>
    <row r="4188">
      <c r="A4188" s="1">
        <v>5.0</v>
      </c>
      <c r="B4188" s="1" t="s">
        <v>4144</v>
      </c>
      <c r="C4188" t="str">
        <f>IFERROR(__xludf.DUMMYFUNCTION("GOOGLETRANSLATE(B4188, ""fr"", ""en"")"),"Nice product robust design compared to my old ""unbranded"" a little more expensive but the quality at a price. The Base can store excess power cord which prevents it drags on the worktop. In short I recommend this kettle carefree.")</f>
        <v>Nice product robust design compared to my old "unbranded" a little more expensive but the quality at a price. The Base can store excess power cord which prevents it drags on the worktop. In short I recommend this kettle carefree.</v>
      </c>
    </row>
    <row r="4189">
      <c r="A4189" s="1">
        <v>5.0</v>
      </c>
      <c r="B4189" s="1" t="s">
        <v>4145</v>
      </c>
      <c r="C4189" t="str">
        <f>IFERROR(__xludf.DUMMYFUNCTION("GOOGLETRANSLATE(B4189, ""fr"", ""en"")"),"The top diffuser design Aroma scent diffuser Infinitoo is based on the look of a sand dune and looks like dark wood. Visually, it looks really good. Commissioning is very easy. Connect the diffuser to power, with max. Fill 500 ml of water, add flavor or f"&amp;"ragrance oil if necessary and turn. The diffuser can be used for a limited duration or continuous operation. The corresponding switch is located on the device. Similarly, you can choose the broadcaster whether to enable the ambient light. This shines plea"&amp;"santly alternately in 7 different colors or you are looking for a permanent color. Steam continuously out of an opening at the top of the diffuser. It is pleasant that the diffuser is really quiet and you can easily use it in the bedroom.")</f>
        <v>The top diffuser design Aroma scent diffuser Infinitoo is based on the look of a sand dune and looks like dark wood. Visually, it looks really good. Commissioning is very easy. Connect the diffuser to power, with max. Fill 500 ml of water, add flavor or fragrance oil if necessary and turn. The diffuser can be used for a limited duration or continuous operation. The corresponding switch is located on the device. Similarly, you can choose the broadcaster whether to enable the ambient light. This shines pleasantly alternately in 7 different colors or you are looking for a permanent color. Steam continuously out of an opening at the top of the diffuser. It is pleasant that the diffuser is really quiet and you can easily use it in the bedroom.</v>
      </c>
    </row>
    <row r="4190">
      <c r="A4190" s="1">
        <v>2.0</v>
      </c>
      <c r="B4190" s="1" t="s">
        <v>4146</v>
      </c>
      <c r="C4190" t="str">
        <f>IFERROR(__xludf.DUMMYFUNCTION("GOOGLETRANSLATE(B4190, ""fr"", ""en"")"),"pretty on the outside, too fragile inside model pretty, beautiful canvas, good cut, but very disappointed with the fragile lining in the heel. Shoes bought to wear with formal wear. Very few updates to keep them white and perfect. From the 6 or 8th time I"&amp;" put the inner lining, heel right, has given way to a big hole. Since rape my heel against the fabric laminated ...... FRO FRO VERY! Product disappointed and skeptical about this brand as I positioned as being of good quality.")</f>
        <v>pretty on the outside, too fragile inside model pretty, beautiful canvas, good cut, but very disappointed with the fragile lining in the heel. Shoes bought to wear with formal wear. Very few updates to keep them white and perfect. From the 6 or 8th time I put the inner lining, heel right, has given way to a big hole. Since rape my heel against the fabric laminated ...... FRO FRO VERY! Product disappointed and skeptical about this brand as I positioned as being of good quality.</v>
      </c>
    </row>
    <row r="4191">
      <c r="A4191" s="1">
        <v>1.0</v>
      </c>
      <c r="B4191" s="1" t="s">
        <v>4147</v>
      </c>
      <c r="C4191" t="str">
        <f>IFERROR(__xludf.DUMMYFUNCTION("GOOGLETRANSLATE(B4191, ""fr"", ""en"")"),"Long live internet I should have to go to China on foot. I can not get better since I have not received anything, great for a birthday ... And then he asks a note?")</f>
        <v>Long live internet I should have to go to China on foot. I can not get better since I have not received anything, great for a birthday ... And then he asks a note?</v>
      </c>
    </row>
    <row r="4192">
      <c r="A4192" s="1">
        <v>1.0</v>
      </c>
      <c r="B4192" s="1" t="s">
        <v>4148</v>
      </c>
      <c r="C4192" t="str">
        <f>IFERROR(__xludf.DUMMYFUNCTION("GOOGLETRANSLATE(B4192, ""fr"", ""en"")"),"The quality Hello? Jai received the bouillard today I have just tested it leaks !!!")</f>
        <v>The quality Hello? Jai received the bouillard today I have just tested it leaks !!!</v>
      </c>
    </row>
    <row r="4193">
      <c r="A4193" s="1">
        <v>3.0</v>
      </c>
      <c r="B4193" s="1" t="s">
        <v>4149</v>
      </c>
      <c r="C4193" t="str">
        <f>IFERROR(__xludf.DUMMYFUNCTION("GOOGLETRANSLATE(B4193, ""fr"", ""en"")"),"Jogging Very leap for jogging")</f>
        <v>Jogging Very leap for jogging</v>
      </c>
    </row>
    <row r="4194">
      <c r="A4194" s="1">
        <v>3.0</v>
      </c>
      <c r="B4194" s="1" t="s">
        <v>4150</v>
      </c>
      <c r="C4194" t="str">
        <f>IFERROR(__xludf.DUMMYFUNCTION("GOOGLETRANSLATE(B4194, ""fr"", ""en"")"),"Meets Very nice description")</f>
        <v>Meets Very nice description</v>
      </c>
    </row>
    <row r="4195">
      <c r="A4195" s="1">
        <v>4.0</v>
      </c>
      <c r="B4195" s="1" t="s">
        <v>4151</v>
      </c>
      <c r="C4195" t="str">
        <f>IFERROR(__xludf.DUMMYFUNCTION("GOOGLETRANSLATE(B4195, ""fr"", ""en"")"),"No C not leather leather")</f>
        <v>No C not leather leather</v>
      </c>
    </row>
    <row r="4196">
      <c r="A4196" s="1">
        <v>4.0</v>
      </c>
      <c r="B4196" s="1" t="s">
        <v>4152</v>
      </c>
      <c r="C4196" t="str">
        <f>IFERROR(__xludf.DUMMYFUNCTION("GOOGLETRANSLATE(B4196, ""fr"", ""en"")"),"Good purchase consistent with the description Helmet bought to play the ps4? Pleased with my purchase for longevity I can not answer because it is a recent purchase")</f>
        <v>Good purchase consistent with the description Helmet bought to play the ps4? Pleased with my purchase for longevity I can not answer because it is a recent purchase</v>
      </c>
    </row>
    <row r="4197">
      <c r="A4197" s="1">
        <v>4.0</v>
      </c>
      <c r="B4197" s="1" t="s">
        <v>4153</v>
      </c>
      <c r="C4197" t="str">
        <f>IFERROR(__xludf.DUMMYFUNCTION("GOOGLETRANSLATE(B4197, ""fr"", ""en"")"),"sweet and lovely lamp lamp bought for my 7 year old son. he is delighted. many possibilities of playing time, the brightness, the choice of his. Not easy to understand at first and requires a small break to understand how to change settings. negative poin"&amp;"t. sunrise and sunset occurs by changes in brightness and color at any given time according to adjustment and not a soft graduation. A good product overall, I recommend")</f>
        <v>sweet and lovely lamp lamp bought for my 7 year old son. he is delighted. many possibilities of playing time, the brightness, the choice of his. Not easy to understand at first and requires a small break to understand how to change settings. negative point. sunrise and sunset occurs by changes in brightness and color at any given time according to adjustment and not a soft graduation. A good product overall, I recommend</v>
      </c>
    </row>
    <row r="4198">
      <c r="A4198" s="1">
        <v>4.0</v>
      </c>
      <c r="B4198" s="1" t="s">
        <v>4154</v>
      </c>
      <c r="C4198" t="str">
        <f>IFERROR(__xludf.DUMMYFUNCTION("GOOGLETRANSLATE(B4198, ""fr"", ""en"")"),"top great for the price")</f>
        <v>top great for the price</v>
      </c>
    </row>
    <row r="4199">
      <c r="A4199" s="1">
        <v>5.0</v>
      </c>
      <c r="B4199" s="1" t="s">
        <v>4155</v>
      </c>
      <c r="C4199" t="str">
        <f>IFERROR(__xludf.DUMMYFUNCTION("GOOGLETRANSLATE(B4199, ""fr"", ""en"")"),"Meets very comfortable Perfect description")</f>
        <v>Meets very comfortable Perfect description</v>
      </c>
    </row>
    <row r="4200">
      <c r="A4200" s="1">
        <v>5.0</v>
      </c>
      <c r="B4200" s="1" t="s">
        <v>4156</v>
      </c>
      <c r="C4200" t="str">
        <f>IFERROR(__xludf.DUMMYFUNCTION("GOOGLETRANSLATE(B4200, ""fr"", ""en"")"),"outstanding comfort an insole that takes on the shape of the foot during long walks no calf contracture no achjle tendon pain whatever the ground deformation of the foot rest perfectly held shoe a little hot by very good weather")</f>
        <v>outstanding comfort an insole that takes on the shape of the foot during long walks no calf contracture no achjle tendon pain whatever the ground deformation of the foot rest perfectly held shoe a little hot by very good weather</v>
      </c>
    </row>
    <row r="4201">
      <c r="A4201" s="1">
        <v>5.0</v>
      </c>
      <c r="B4201" s="1" t="s">
        <v>4157</v>
      </c>
      <c r="C4201" t="str">
        <f>IFERROR(__xludf.DUMMYFUNCTION("GOOGLETRANSLATE(B4201, ""fr"", ""en"")"),"Great product Very good rendering qualitative product is clean I just wish the length of cable that connected to the handle is rather a result, and also the USB port next to the jack. Beyond that force to see that the quality is good with a good record of"&amp;" serious acute and no saturation. It is also comfortable that after a big session (3h) ears were just warm but no pain. In short, as seen in an article the value of this headset is excellent.")</f>
        <v>Great product Very good rendering qualitative product is clean I just wish the length of cable that connected to the handle is rather a result, and also the USB port next to the jack. Beyond that force to see that the quality is good with a good record of serious acute and no saturation. It is also comfortable that after a big session (3h) ears were just warm but no pain. In short, as seen in an article the value of this headset is excellent.</v>
      </c>
    </row>
    <row r="4202">
      <c r="A4202" s="1">
        <v>5.0</v>
      </c>
      <c r="B4202" s="1" t="s">
        <v>4158</v>
      </c>
      <c r="C4202" t="str">
        <f>IFERROR(__xludf.DUMMYFUNCTION("GOOGLETRANSLATE(B4202, ""fr"", ""en"")"),"Comfort These socks are very comfortable. There is no warm feelings and even fewer cold. They are soft.")</f>
        <v>Comfort These socks are very comfortable. There is no warm feelings and even fewer cold. They are soft.</v>
      </c>
    </row>
    <row r="4203">
      <c r="A4203" s="1">
        <v>5.0</v>
      </c>
      <c r="B4203" s="1" t="s">
        <v>4159</v>
      </c>
      <c r="C4203" t="str">
        <f>IFERROR(__xludf.DUMMYFUNCTION("GOOGLETRANSLATE(B4203, ""fr"", ""en"")"),"Thank you Households")</f>
        <v>Thank you Households</v>
      </c>
    </row>
    <row r="4204">
      <c r="A4204" s="1">
        <v>5.0</v>
      </c>
      <c r="B4204" s="1" t="s">
        <v>4160</v>
      </c>
      <c r="C4204" t="str">
        <f>IFERROR(__xludf.DUMMYFUNCTION("GOOGLETRANSLATE(B4204, ""fr"", ""en"")"),"Although the top")</f>
        <v>Although the top</v>
      </c>
    </row>
    <row r="4205">
      <c r="A4205" s="1">
        <v>5.0</v>
      </c>
      <c r="B4205" s="1" t="s">
        <v>4161</v>
      </c>
      <c r="C4205" t="str">
        <f>IFERROR(__xludf.DUMMYFUNCTION("GOOGLETRANSLATE(B4205, ""fr"", ""en"")"),"calculator for high school One of the lowest prices. Calculator advised by the math teacher of my daughter's 2nd. Quick delivery. Until 09.30.18, there are 10 euros to pay on proof of purchase. Amazon provided you anyway an office bill. The teens are not "&amp;"careful with their bag I opted to add a rigid shell much like laptops;)")</f>
        <v>calculator for high school One of the lowest prices. Calculator advised by the math teacher of my daughter's 2nd. Quick delivery. Until 09.30.18, there are 10 euros to pay on proof of purchase. Amazon provided you anyway an office bill. The teens are not careful with their bag I opted to add a rigid shell much like laptops;)</v>
      </c>
    </row>
    <row r="4206">
      <c r="A4206" s="1">
        <v>5.0</v>
      </c>
      <c r="B4206" s="1" t="s">
        <v>4162</v>
      </c>
      <c r="C4206" t="str">
        <f>IFERROR(__xludf.DUMMYFUNCTION("GOOGLETRANSLATE(B4206, ""fr"", ""en"")"),"Great product I bought for my mom and she completely adhered! It uses the pillow at night and sleep well on it! Very good value for money")</f>
        <v>Great product I bought for my mom and she completely adhered! It uses the pillow at night and sleep well on it! Very good value for money</v>
      </c>
    </row>
    <row r="4207">
      <c r="A4207" s="1">
        <v>5.0</v>
      </c>
      <c r="B4207" s="1" t="s">
        <v>4163</v>
      </c>
      <c r="C4207" t="str">
        <f>IFERROR(__xludf.DUMMYFUNCTION("GOOGLETRANSLATE(B4207, ""fr"", ""en"")"),"NIKE AIR no galley !!!!! Design, comfort and simplicity, I ask no more for a pair of shoes that always knew to show me the image that reflects the brand in my eyes!")</f>
        <v>NIKE AIR no galley !!!!! Design, comfort and simplicity, I ask no more for a pair of shoes that always knew to show me the image that reflects the brand in my eyes!</v>
      </c>
    </row>
    <row r="4208">
      <c r="A4208" s="1">
        <v>5.0</v>
      </c>
      <c r="B4208" s="1" t="s">
        <v>4164</v>
      </c>
      <c r="C4208" t="str">
        <f>IFERROR(__xludf.DUMMYFUNCTION("GOOGLETRANSLATE(B4208, ""fr"", ""en"")"),"Recommend to buy first baby and just so happy I recommend!")</f>
        <v>Recommend to buy first baby and just so happy I recommend!</v>
      </c>
    </row>
    <row r="4209">
      <c r="A4209" s="1">
        <v>5.0</v>
      </c>
      <c r="B4209" s="1" t="s">
        <v>4165</v>
      </c>
      <c r="C4209" t="str">
        <f>IFERROR(__xludf.DUMMYFUNCTION("GOOGLETRANSLATE(B4209, ""fr"", ""en"")"),"perfect ! I ordered one pair for each of my children and they seem very happy! the color and shape correspond to the image of the site! Received within the time agreed.")</f>
        <v>perfect ! I ordered one pair for each of my children and they seem very happy! the color and shape correspond to the image of the site! Received within the time agreed.</v>
      </c>
    </row>
    <row r="4210">
      <c r="A4210" s="1">
        <v>5.0</v>
      </c>
      <c r="B4210" s="1" t="s">
        <v>4166</v>
      </c>
      <c r="C4210" t="str">
        <f>IFERROR(__xludf.DUMMYFUNCTION("GOOGLETRANSLATE(B4210, ""fr"", ""en"")"),"Good product ! Article good quality! The sound is fluid and headsets are very comfortable !! The system is top pr recharge and fast !! I am glad")</f>
        <v>Good product ! Article good quality! The sound is fluid and headsets are very comfortable !! The system is top pr recharge and fast !! I am glad</v>
      </c>
    </row>
    <row r="4211">
      <c r="A4211" s="1">
        <v>5.0</v>
      </c>
      <c r="B4211" s="1" t="s">
        <v>4167</v>
      </c>
      <c r="C4211" t="str">
        <f>IFERROR(__xludf.DUMMYFUNCTION("GOOGLETRANSLATE(B4211, ""fr"", ""en"")"),"Cute! My wife literally crush on this beautiful gem fancy! It comes in a beautiful green blue sky that changes what can be and usually accompanied by a small microfiber cloth of the same color. It has a fine and adjustable chain with a link could not be m"&amp;"ore classic. It represents a Koala adorned many brilliant crystals which I assure you is successful. He takes her in his arms a beautiful blue heart also with beautiful finishes. This is obviously a fantasy gem and not a luxury jewelry, so be careful with"&amp;" its use (eg water), beyond that, for its good quality / price ratio and above all for its design unusual, I recommend it. ■ If you found my review helpful, please feel free to click YES just below, it's always fun, thank you! ■ :)")</f>
        <v>Cute! My wife literally crush on this beautiful gem fancy! It comes in a beautiful green blue sky that changes what can be and usually accompanied by a small microfiber cloth of the same color. It has a fine and adjustable chain with a link could not be more classic. It represents a Koala adorned many brilliant crystals which I assure you is successful. He takes her in his arms a beautiful blue heart also with beautiful finishes. This is obviously a fantasy gem and not a luxury jewelry, so be careful with its use (eg water), beyond that, for its good quality / price ratio and above all for its design unusual, I recommend it. ■ If you found my review helpful, please feel free to click YES just below, it's always fun, thank you! ■ :)</v>
      </c>
    </row>
    <row r="4212">
      <c r="A4212" s="1">
        <v>5.0</v>
      </c>
      <c r="B4212" s="1" t="s">
        <v>4168</v>
      </c>
      <c r="C4212" t="str">
        <f>IFERROR(__xludf.DUMMYFUNCTION("GOOGLETRANSLATE(B4212, ""fr"", ""en"")"),"Excellent Ben suitable product complies with pictures wearable comfortable only downside I felt was a foot taller than the other, but now I think it's better a little weird")</f>
        <v>Excellent Ben suitable product complies with pictures wearable comfortable only downside I felt was a foot taller than the other, but now I think it's better a little weird</v>
      </c>
    </row>
    <row r="4213">
      <c r="A4213" s="1">
        <v>5.0</v>
      </c>
      <c r="B4213" s="1" t="s">
        <v>4169</v>
      </c>
      <c r="C4213" t="str">
        <f>IFERROR(__xludf.DUMMYFUNCTION("GOOGLETRANSLATE(B4213, ""fr"", ""en"")"),"Headphone quality I just got the helmet! I rushed to try it! I'm really glad the helmet! Great sound, great fit. Color is very pretty. It is lightweight and functional! Quality! I recommend !")</f>
        <v>Headphone quality I just got the helmet! I rushed to try it! I'm really glad the helmet! Great sound, great fit. Color is very pretty. It is lightweight and functional! Quality! I recommend !</v>
      </c>
    </row>
    <row r="4214">
      <c r="A4214" s="1">
        <v>2.0</v>
      </c>
      <c r="B4214" s="1" t="s">
        <v>4170</v>
      </c>
      <c r="C4214" t="str">
        <f>IFERROR(__xludf.DUMMYFUNCTION("GOOGLETRANSLATE(B4214, ""fr"", ""en"")"),"blah complicated for a child of 8 years for an adult my 21 year old son is the only one to understand jokes I do not recommend it for 7 8 years")</f>
        <v>blah complicated for a child of 8 years for an adult my 21 year old son is the only one to understand jokes I do not recommend it for 7 8 years</v>
      </c>
    </row>
    <row r="4215">
      <c r="A4215" s="1">
        <v>1.0</v>
      </c>
      <c r="B4215" s="1" t="s">
        <v>4171</v>
      </c>
      <c r="C4215" t="str">
        <f>IFERROR(__xludf.DUMMYFUNCTION("GOOGLETRANSLATE(B4215, ""fr"", ""en"")"),"a month and nothing !! That three weeks since we received this product and the sponge tip has completely exploded. leaving only the hair !! small tip for teats remains useful but we need to buy a new brush !! I STRONGLY RECOMMENDED.")</f>
        <v>a month and nothing !! That three weeks since we received this product and the sponge tip has completely exploded. leaving only the hair !! small tip for teats remains useful but we need to buy a new brush !! I STRONGLY RECOMMENDED.</v>
      </c>
    </row>
    <row r="4216">
      <c r="A4216" s="1">
        <v>1.0</v>
      </c>
      <c r="B4216" s="1" t="s">
        <v>4172</v>
      </c>
      <c r="C4216" t="str">
        <f>IFERROR(__xludf.DUMMYFUNCTION("GOOGLETRANSLATE(B4216, ""fr"", ""en"")"),"Disappointed attention to good quality product Hello size but the size is absolutely not absolutely I Order M, which must make a double-xl or xl really disappointed with this purchase take away size below ...")</f>
        <v>Disappointed attention to good quality product Hello size but the size is absolutely not absolutely I Order M, which must make a double-xl or xl really disappointed with this purchase take away size below ...</v>
      </c>
    </row>
    <row r="4217">
      <c r="A4217" s="1">
        <v>3.0</v>
      </c>
      <c r="B4217" s="1" t="s">
        <v>4173</v>
      </c>
      <c r="C4217" t="str">
        <f>IFERROR(__xludf.DUMMYFUNCTION("GOOGLETRANSLATE(B4217, ""fr"", ""en"")"),"Yes I am happy for this purchase, but too early to use, so back to you shortly to give you more information.")</f>
        <v>Yes I am happy for this purchase, but too early to use, so back to you shortly to give you more information.</v>
      </c>
    </row>
    <row r="4218">
      <c r="A4218" s="1">
        <v>4.0</v>
      </c>
      <c r="B4218" s="1" t="s">
        <v>4174</v>
      </c>
      <c r="C4218" t="str">
        <f>IFERROR(__xludf.DUMMYFUNCTION("GOOGLETRANSLATE(B4218, ""fr"", ""en"")"),"Good Kettle Kettle")</f>
        <v>Good Kettle Kettle</v>
      </c>
    </row>
    <row r="4219">
      <c r="A4219" s="1">
        <v>4.0</v>
      </c>
      <c r="B4219" s="1" t="s">
        <v>4175</v>
      </c>
      <c r="C4219" t="str">
        <f>IFERROR(__xludf.DUMMYFUNCTION("GOOGLETRANSLATE(B4219, ""fr"", ""en"")"),"sweet dreams became She was delighted, delivery nickel ... THANK YOU!")</f>
        <v>sweet dreams became She was delighted, delivery nickel ... THANK YOU!</v>
      </c>
    </row>
    <row r="4220">
      <c r="A4220" s="1">
        <v>4.0</v>
      </c>
      <c r="B4220" s="1" t="s">
        <v>4176</v>
      </c>
      <c r="C4220" t="str">
        <f>IFERROR(__xludf.DUMMYFUNCTION("GOOGLETRANSLATE(B4220, ""fr"", ""en"")"),"Nickel for printing of ""desktop"" Let us live, we do not use it for photo prints. Just all coming in family mode: color photocopies, black document printing and colors ... These compatible cartridges are more than adequate for our use and seems, for now,"&amp;" not clog the nozzles of our Canon printer.")</f>
        <v>Nickel for printing of "desktop" Let us live, we do not use it for photo prints. Just all coming in family mode: color photocopies, black document printing and colors ... These compatible cartridges are more than adequate for our use and seems, for now, not clog the nozzles of our Canon printer.</v>
      </c>
    </row>
    <row r="4221">
      <c r="A4221" s="1">
        <v>4.0</v>
      </c>
      <c r="B4221" s="1" t="s">
        <v>4177</v>
      </c>
      <c r="C4221" t="str">
        <f>IFERROR(__xludf.DUMMYFUNCTION("GOOGLETRANSLATE(B4221, ""fr"", ""en"")"),"Good product my son is delighted to leisure beach. Very comfortable but when it's hot you sweat a lot.")</f>
        <v>Good product my son is delighted to leisure beach. Very comfortable but when it's hot you sweat a lot.</v>
      </c>
    </row>
    <row r="4222">
      <c r="A4222" s="1">
        <v>5.0</v>
      </c>
      <c r="B4222" s="1" t="s">
        <v>4178</v>
      </c>
      <c r="C4222" t="str">
        <f>IFERROR(__xludf.DUMMYFUNCTION("GOOGLETRANSLATE(B4222, ""fr"", ""en"")"),"Beautiful and adjustable Very nice product, fits wrist through the elastic thread, small ❤️ well proportioned with pearls. A pouch of velvet with even offered. I recommend")</f>
        <v>Beautiful and adjustable Very nice product, fits wrist through the elastic thread, small ❤️ well proportioned with pearls. A pouch of velvet with even offered. I recommend</v>
      </c>
    </row>
    <row r="4223">
      <c r="A4223" s="1">
        <v>5.0</v>
      </c>
      <c r="B4223" s="1" t="s">
        <v>4179</v>
      </c>
      <c r="C4223" t="str">
        <f>IFERROR(__xludf.DUMMYFUNCTION("GOOGLETRANSLATE(B4223, ""fr"", ""en"")"),"Content Perfect, it keeps me warm up the whole room when it's cold and I'm still in front of my pc with the radiator at the other end of the room, Parcontre is horribly annoying to clean")</f>
        <v>Content Perfect, it keeps me warm up the whole room when it's cold and I'm still in front of my pc with the radiator at the other end of the room, Parcontre is horribly annoying to clean</v>
      </c>
    </row>
    <row r="4224">
      <c r="A4224" s="1">
        <v>5.0</v>
      </c>
      <c r="B4224" s="1" t="s">
        <v>4180</v>
      </c>
      <c r="C4224" t="str">
        <f>IFERROR(__xludf.DUMMYFUNCTION("GOOGLETRANSLATE(B4224, ""fr"", ""en"")"),"Although design line with our expectations, fast delivery, beautiful shade of blue ignition The cover is not removable somewhat difficult to clean, but not impossible anyway! The noise level could be improved.")</f>
        <v>Although design line with our expectations, fast delivery, beautiful shade of blue ignition The cover is not removable somewhat difficult to clean, but not impossible anyway! The noise level could be improved.</v>
      </c>
    </row>
    <row r="4225">
      <c r="A4225" s="1">
        <v>5.0</v>
      </c>
      <c r="B4225" s="1" t="s">
        <v>4181</v>
      </c>
      <c r="C4225" t="str">
        <f>IFERROR(__xludf.DUMMYFUNCTION("GOOGLETRANSLATE(B4225, ""fr"", ""en"")"),"Very nice Very nice discovery, my 5 year old son loved this book with humorous and beautiful drawings. So we will continue the collection ...")</f>
        <v>Very nice Very nice discovery, my 5 year old son loved this book with humorous and beautiful drawings. So we will continue the collection ...</v>
      </c>
    </row>
    <row r="4226">
      <c r="A4226" s="1">
        <v>5.0</v>
      </c>
      <c r="B4226" s="1" t="s">
        <v>4182</v>
      </c>
      <c r="C4226" t="str">
        <f>IFERROR(__xludf.DUMMYFUNCTION("GOOGLETRANSLATE(B4226, ""fr"", ""en"")"),"perfect item consistent with the description. The size is to take the usual size. Of good quality, to see wear but nothing bad yet.")</f>
        <v>perfect item consistent with the description. The size is to take the usual size. Of good quality, to see wear but nothing bad yet.</v>
      </c>
    </row>
    <row r="4227">
      <c r="A4227" s="1">
        <v>5.0</v>
      </c>
      <c r="B4227" s="1" t="s">
        <v>4183</v>
      </c>
      <c r="C4227" t="str">
        <f>IFERROR(__xludf.DUMMYFUNCTION("GOOGLETRANSLATE(B4227, ""fr"", ""en"")"),"Good product Very comfortable")</f>
        <v>Good product Very comfortable</v>
      </c>
    </row>
    <row r="4228">
      <c r="A4228" s="1">
        <v>5.0</v>
      </c>
      <c r="B4228" s="1" t="s">
        <v>4184</v>
      </c>
      <c r="C4228" t="str">
        <f>IFERROR(__xludf.DUMMYFUNCTION("GOOGLETRANSLATE(B4228, ""fr"", ""en"")"),"Ras Meets description.")</f>
        <v>Ras Meets description.</v>
      </c>
    </row>
    <row r="4229">
      <c r="A4229" s="1">
        <v>5.0</v>
      </c>
      <c r="B4229" s="1" t="s">
        <v>4185</v>
      </c>
      <c r="C4229" t="str">
        <f>IFERROR(__xludf.DUMMYFUNCTION("GOOGLETRANSLATE(B4229, ""fr"", ""en"")"),"Perfect article of the description pleasant Fast delivery Material")</f>
        <v>Perfect article of the description pleasant Fast delivery Material</v>
      </c>
    </row>
    <row r="4230">
      <c r="A4230" s="1">
        <v>5.0</v>
      </c>
      <c r="B4230" s="1" t="s">
        <v>4186</v>
      </c>
      <c r="C4230" t="str">
        <f>IFERROR(__xludf.DUMMYFUNCTION("GOOGLETRANSLATE(B4230, ""fr"", ""en"")"),"Color velvet and everything that makes fashion this winter for the weekend or go to gym is perfect.")</f>
        <v>Color velvet and everything that makes fashion this winter for the weekend or go to gym is perfect.</v>
      </c>
    </row>
    <row r="4231">
      <c r="A4231" s="1">
        <v>5.0</v>
      </c>
      <c r="B4231" s="1" t="s">
        <v>4187</v>
      </c>
      <c r="C4231" t="str">
        <f>IFERROR(__xludf.DUMMYFUNCTION("GOOGLETRANSLATE(B4231, ""fr"", ""en"")"),"Recordings are quality! I use it to hold general vocabulary or register cours.La sound quality is very good records top.l'appareil any kind of time that this is a concert or meeting. QUZ only caution I can do is when a large crowd sings along, depending o"&amp;"n the intensity it can be noisy.")</f>
        <v>Recordings are quality! I use it to hold general vocabulary or register cours.La sound quality is very good records top.l'appareil any kind of time that this is a concert or meeting. QUZ only caution I can do is when a large crowd sings along, depending on the intensity it can be noisy.</v>
      </c>
    </row>
    <row r="4232">
      <c r="A4232" s="1">
        <v>5.0</v>
      </c>
      <c r="B4232" s="1" t="s">
        <v>4188</v>
      </c>
      <c r="C4232" t="str">
        <f>IFERROR(__xludf.DUMMYFUNCTION("GOOGLETRANSLATE(B4232, ""fr"", ""en"")"),"Very useful in case of irritable bowel syndrome Having reached this problem for children, the only and unique products of interest are green clay, activated carbon and probiotics. Avoidance of certain foods and drugs offered by pharmaceutical companies an"&amp;"d doctors are of no use. All these products are to be taken in cure from 2 to 4 weeks as often as necessary. After some time, we reduce the symptoms and attacks recur less frequently but do not disappear completely. But at least these natural products saf"&amp;"e until help medicine or find a solution to this very unpleasant disease that does not kill anyone, but that can make life almost nonexistent company in extreme cases.")</f>
        <v>Very useful in case of irritable bowel syndrome Having reached this problem for children, the only and unique products of interest are green clay, activated carbon and probiotics. Avoidance of certain foods and drugs offered by pharmaceutical companies and doctors are of no use. All these products are to be taken in cure from 2 to 4 weeks as often as necessary. After some time, we reduce the symptoms and attacks recur less frequently but do not disappear completely. But at least these natural products safe until help medicine or find a solution to this very unpleasant disease that does not kill anyone, but that can make life almost nonexistent company in extreme cases.</v>
      </c>
    </row>
    <row r="4233">
      <c r="A4233" s="1">
        <v>5.0</v>
      </c>
      <c r="B4233" s="1" t="s">
        <v>4189</v>
      </c>
      <c r="C4233" t="str">
        <f>IFERROR(__xludf.DUMMYFUNCTION("GOOGLETRANSLATE(B4233, ""fr"", ""en"")"),"Nickel my very helpful to have additional ports that I wanted to add 3 additional ventilos Be Quiet 120mm")</f>
        <v>Nickel my very helpful to have additional ports that I wanted to add 3 additional ventilos Be Quiet 120mm</v>
      </c>
    </row>
    <row r="4234">
      <c r="A4234" s="1">
        <v>5.0</v>
      </c>
      <c r="B4234" s="1" t="s">
        <v>4190</v>
      </c>
      <c r="C4234" t="str">
        <f>IFERROR(__xludf.DUMMYFUNCTION("GOOGLETRANSLATE(B4234, ""fr"", ""en"")"),"Excellent product Leather is very correct for the made in china, the product is well arranged, the color is perfect. See time, but overall I recommend this product.")</f>
        <v>Excellent product Leather is very correct for the made in china, the product is well arranged, the color is perfect. See time, but overall I recommend this product.</v>
      </c>
    </row>
    <row r="4235">
      <c r="A4235" s="1">
        <v>5.0</v>
      </c>
      <c r="B4235" s="1" t="s">
        <v>4191</v>
      </c>
      <c r="C4235" t="str">
        <f>IFERROR(__xludf.DUMMYFUNCTION("GOOGLETRANSLATE(B4235, ""fr"", ""en"")"),"Beautiful doc martens !! Perfect, nothing to say .... Very happy with the product ....")</f>
        <v>Beautiful doc martens !! Perfect, nothing to say .... Very happy with the product ....</v>
      </c>
    </row>
    <row r="4236">
      <c r="A4236" s="1">
        <v>5.0</v>
      </c>
      <c r="B4236" s="1" t="s">
        <v>4192</v>
      </c>
      <c r="C4236" t="str">
        <f>IFERROR(__xludf.DUMMYFUNCTION("GOOGLETRANSLATE(B4236, ""fr"", ""en"")"),"Comfortable perfect bag to accommodate a glasses case, a wallet and a smartphone 2 or 3 papers. the shoulder strap is wide and strong. little less if you want to quibble, the flap cover is inaccessible, it is reserved for flat objects that should go out r"&amp;"arely, badge or car key without contact.")</f>
        <v>Comfortable perfect bag to accommodate a glasses case, a wallet and a smartphone 2 or 3 papers. the shoulder strap is wide and strong. little less if you want to quibble, the flap cover is inaccessible, it is reserved for flat objects that should go out rarely, badge or car key without contact.</v>
      </c>
    </row>
    <row r="4237">
      <c r="A4237" s="1">
        <v>2.0</v>
      </c>
      <c r="B4237" s="1" t="s">
        <v>4193</v>
      </c>
      <c r="C4237" t="str">
        <f>IFERROR(__xludf.DUMMYFUNCTION("GOOGLETRANSLATE(B4237, ""fr"", ""en"")"),"Problem with nipples! Pretty disappointed with this yet recognized brand. As another comment, my baby takes all the pacifier in his mouth forcing me to hold the bottle by pulling slightly above! (7 month old, flow teat 2) Honestly not practical! Furthermo"&amp;"re the nipple collapses completely, the air does not circulate which forced me to completely remove the bottle from the mouth of my baby so that the air will call redo ... It ended on a site Used resale!")</f>
        <v>Problem with nipples! Pretty disappointed with this yet recognized brand. As another comment, my baby takes all the pacifier in his mouth forcing me to hold the bottle by pulling slightly above! (7 month old, flow teat 2) Honestly not practical! Furthermore the nipple collapses completely, the air does not circulate which forced me to completely remove the bottle from the mouth of my baby so that the air will call redo ... It ended on a site Used resale!</v>
      </c>
    </row>
    <row r="4238">
      <c r="A4238" s="1">
        <v>1.0</v>
      </c>
      <c r="B4238" s="1" t="s">
        <v>4194</v>
      </c>
      <c r="C4238" t="str">
        <f>IFERROR(__xludf.DUMMYFUNCTION("GOOGLETRANSLATE(B4238, ""fr"", ""en"")"),"Noise Make too much noise is heard from far away. If the bracelet after a few days he began to have traces I wonder if it's real cook")</f>
        <v>Noise Make too much noise is heard from far away. If the bracelet after a few days he began to have traces I wonder if it's real cook</v>
      </c>
    </row>
    <row r="4239">
      <c r="A4239" s="1">
        <v>3.0</v>
      </c>
      <c r="B4239" s="1" t="s">
        <v>4195</v>
      </c>
      <c r="C4239" t="str">
        <f>IFERROR(__xludf.DUMMYFUNCTION("GOOGLETRANSLATE(B4239, ""fr"", ""en"")"),"Not very nice to see beefy in time. I do not advise buying.")</f>
        <v>Not very nice to see beefy in time. I do not advise buying.</v>
      </c>
    </row>
    <row r="4240">
      <c r="A4240" s="1">
        <v>3.0</v>
      </c>
      <c r="B4240" s="1" t="s">
        <v>4196</v>
      </c>
      <c r="C4240" t="str">
        <f>IFERROR(__xludf.DUMMYFUNCTION("GOOGLETRANSLATE(B4240, ""fr"", ""en"")"),". Warm but stitching it cracked soon !!!!")</f>
        <v>. Warm but stitching it cracked soon !!!!</v>
      </c>
    </row>
    <row r="4241">
      <c r="A4241" s="1">
        <v>4.0</v>
      </c>
      <c r="B4241" s="1" t="s">
        <v>4197</v>
      </c>
      <c r="C4241" t="str">
        <f>IFERROR(__xludf.DUMMYFUNCTION("GOOGLETRANSLATE(B4241, ""fr"", ""en"")"),"Superb large size shoes! But they have tendency to make big feet ... they large sizes")</f>
        <v>Superb large size shoes! But they have tendency to make big feet ... they large sizes</v>
      </c>
    </row>
    <row r="4242">
      <c r="A4242" s="1">
        <v>4.0</v>
      </c>
      <c r="B4242" s="1" t="s">
        <v>4198</v>
      </c>
      <c r="C4242" t="str">
        <f>IFERROR(__xludf.DUMMYFUNCTION("GOOGLETRANSLATE(B4242, ""fr"", ""en"")"),"weekly calendar. well, I will recommend to the year 2019. I can write everything down ... but not put it in my bag too !!! grand.Mais it was my choice.")</f>
        <v>weekly calendar. well, I will recommend to the year 2019. I can write everything down ... but not put it in my bag too !!! grand.Mais it was my choice.</v>
      </c>
    </row>
    <row r="4243">
      <c r="A4243" s="1">
        <v>4.0</v>
      </c>
      <c r="B4243" s="1" t="s">
        <v>4199</v>
      </c>
      <c r="C4243" t="str">
        <f>IFERROR(__xludf.DUMMYFUNCTION("GOOGLETRANSLATE(B4243, ""fr"", ""en"")"),"Nickel sport socks set ""Sun"" good size consistent and good quality.")</f>
        <v>Nickel sport socks set "Sun" good size consistent and good quality.</v>
      </c>
    </row>
    <row r="4244">
      <c r="A4244" s="1">
        <v>4.0</v>
      </c>
      <c r="B4244" s="1" t="s">
        <v>4200</v>
      </c>
      <c r="C4244" t="str">
        <f>IFERROR(__xludf.DUMMYFUNCTION("GOOGLETRANSLATE(B4244, ""fr"", ""en"")"),"Here fresh long J command every year .. use for migraines .. I find them thinner than usual .. I hope will in time ...")</f>
        <v>Here fresh long J command every year .. use for migraines .. I find them thinner than usual .. I hope will in time ...</v>
      </c>
    </row>
    <row r="4245">
      <c r="A4245" s="1">
        <v>4.0</v>
      </c>
      <c r="B4245" s="1" t="s">
        <v>4201</v>
      </c>
      <c r="C4245" t="str">
        <f>IFERROR(__xludf.DUMMYFUNCTION("GOOGLETRANSLATE(B4245, ""fr"", ""en"")"),"Pleasant shoe shoe very flexible and enjoyable exact size but easily takes the water in case of rain.")</f>
        <v>Pleasant shoe shoe very flexible and enjoyable exact size but easily takes the water in case of rain.</v>
      </c>
    </row>
    <row r="4246">
      <c r="A4246" s="1">
        <v>5.0</v>
      </c>
      <c r="B4246" s="1" t="s">
        <v>4202</v>
      </c>
      <c r="C4246" t="str">
        <f>IFERROR(__xludf.DUMMYFUNCTION("GOOGLETRANSLATE(B4246, ""fr"", ""en"")"),"I just love it ! Lightweight headphones without son with good battery life. The charging cable is long enough, and the quality of the sublime! helmet vibrations are fine, and the software to enable and disable, change the sound. Good lighting on the sides"&amp;", small downside is that the microphone could have been better for that price, concluding: Very good helmet.")</f>
        <v>I just love it ! Lightweight headphones without son with good battery life. The charging cable is long enough, and the quality of the sublime! helmet vibrations are fine, and the software to enable and disable, change the sound. Good lighting on the sides, small downside is that the microphone could have been better for that price, concluding: Very good helmet.</v>
      </c>
    </row>
    <row r="4247">
      <c r="A4247" s="1">
        <v>5.0</v>
      </c>
      <c r="B4247" s="1" t="s">
        <v>4203</v>
      </c>
      <c r="C4247" t="str">
        <f>IFERROR(__xludf.DUMMYFUNCTION("GOOGLETRANSLATE(B4247, ""fr"", ""en"")"),"shows very beautiful watch fob pocket really cheap and good qualities")</f>
        <v>shows very beautiful watch fob pocket really cheap and good qualities</v>
      </c>
    </row>
    <row r="4248">
      <c r="A4248" s="1">
        <v>5.0</v>
      </c>
      <c r="B4248" s="1" t="s">
        <v>4204</v>
      </c>
      <c r="C4248" t="str">
        <f>IFERROR(__xludf.DUMMYFUNCTION("GOOGLETRANSLATE(B4248, ""fr"", ""en"")"),"Excellent! After testing the trekz model during QLQ weeks and have returned to cause discomfort, c is the model for 2 months and the only limit is its autonomy fan of this helmet Really By car, by bike, on foot or simply at home I sometimes wears the helm"&amp;"et 8hr row. No discomfort caused by vibration (the reason for the return trekz) perfect headset in the car, I think it is consistent with French law saw the 2 ears remain free. J have a good car stereo and car and on foot. Cycling c is sometimes more diff"&amp;"icult with the wind but I prefer not to hear the music sometimes 3 minutes being cut off from the outside. The noise suppression is correct, my interlocutor is often unaware that I travel. The assistant google a bit harder but nothing insurmountable. I th"&amp;"ought I put only 4 stars for the exercise because with cycling helmet and goggles, headphones sometimes moves but would despise vmt product qualities. S money well invested, tested even in the shower. The manufacturer should communicate better on the cont"&amp;"ent of the packaging J got a waist pouch handy and almost waterproof and especially 2 charging cables. I fear not to find myself without cable.")</f>
        <v>Excellent! After testing the trekz model during QLQ weeks and have returned to cause discomfort, c is the model for 2 months and the only limit is its autonomy fan of this helmet Really By car, by bike, on foot or simply at home I sometimes wears the helmet 8hr row. No discomfort caused by vibration (the reason for the return trekz) perfect headset in the car, I think it is consistent with French law saw the 2 ears remain free. J have a good car stereo and car and on foot. Cycling c is sometimes more difficult with the wind but I prefer not to hear the music sometimes 3 minutes being cut off from the outside. The noise suppression is correct, my interlocutor is often unaware that I travel. The assistant google a bit harder but nothing insurmountable. I thought I put only 4 stars for the exercise because with cycling helmet and goggles, headphones sometimes moves but would despise vmt product qualities. S money well invested, tested even in the shower. The manufacturer should communicate better on the content of the packaging J got a waist pouch handy and almost waterproof and especially 2 charging cables. I fear not to find myself without cable.</v>
      </c>
    </row>
    <row r="4249">
      <c r="A4249" s="1">
        <v>5.0</v>
      </c>
      <c r="B4249" s="1" t="s">
        <v>4205</v>
      </c>
      <c r="C4249" t="str">
        <f>IFERROR(__xludf.DUMMYFUNCTION("GOOGLETRANSLATE(B4249, ""fr"", ""en"")"),"Trainers at the top beautiful shoes very comfortable identical to the image even more beautiful in reality, shoes normal size take its usual size in 3 days received a pair of black laces offered I recommend this seller without hesitation")</f>
        <v>Trainers at the top beautiful shoes very comfortable identical to the image even more beautiful in reality, shoes normal size take its usual size in 3 days received a pair of black laces offered I recommend this seller without hesitation</v>
      </c>
    </row>
    <row r="4250">
      <c r="A4250" s="1">
        <v>5.0</v>
      </c>
      <c r="B4250" s="1" t="s">
        <v>4206</v>
      </c>
      <c r="C4250" t="str">
        <f>IFERROR(__xludf.DUMMYFUNCTION("GOOGLETRANSLATE(B4250, ""fr"", ""en"")"),"Great! Super shoes all is as expected and perfect, but it took a jog in every way to recover ..")</f>
        <v>Great! Super shoes all is as expected and perfect, but it took a jog in every way to recover ..</v>
      </c>
    </row>
    <row r="4251">
      <c r="A4251" s="1">
        <v>5.0</v>
      </c>
      <c r="B4251" s="1" t="s">
        <v>4207</v>
      </c>
      <c r="C4251" t="str">
        <f>IFERROR(__xludf.DUMMYFUNCTION("GOOGLETRANSLATE(B4251, ""fr"", ""en"")"),"A VERY GOOD BONNETTE I seek windshield for my Eagletone UM30 microphone for some time I left this windshield and I'm really happy it perfectly fits my microphone. No complaints at this price why deprive this")</f>
        <v>A VERY GOOD BONNETTE I seek windshield for my Eagletone UM30 microphone for some time I left this windshield and I'm really happy it perfectly fits my microphone. No complaints at this price why deprive this</v>
      </c>
    </row>
    <row r="4252">
      <c r="A4252" s="1">
        <v>5.0</v>
      </c>
      <c r="B4252" s="1" t="s">
        <v>4208</v>
      </c>
      <c r="C4252" t="str">
        <f>IFERROR(__xludf.DUMMYFUNCTION("GOOGLETRANSLATE(B4252, ""fr"", ""en"")"),"good quality for price good product, report quality / excellent price. beautiful design, bought for my teen of 14, the helmet does not take place in the backpack. I do not regret my purchase. I recommend without hesitation.")</f>
        <v>good quality for price good product, report quality / excellent price. beautiful design, bought for my teen of 14, the helmet does not take place in the backpack. I do not regret my purchase. I recommend without hesitation.</v>
      </c>
    </row>
    <row r="4253">
      <c r="A4253" s="1">
        <v>5.0</v>
      </c>
      <c r="B4253" s="1" t="s">
        <v>4209</v>
      </c>
      <c r="C4253" t="str">
        <f>IFERROR(__xludf.DUMMYFUNCTION("GOOGLETRANSLATE(B4253, ""fr"", ""en"")"),"Alarm clock with light I bought one that looks but more hair for my son last week but my daughter 3 years was jealous of the sudden I got this one. It is top and there are many functions: Alarm with different sounds, FM radio, alarm clock with light")</f>
        <v>Alarm clock with light I bought one that looks but more hair for my son last week but my daughter 3 years was jealous of the sudden I got this one. It is top and there are many functions: Alarm with different sounds, FM radio, alarm clock with light</v>
      </c>
    </row>
    <row r="4254">
      <c r="A4254" s="1">
        <v>5.0</v>
      </c>
      <c r="B4254" s="1" t="s">
        <v>508</v>
      </c>
      <c r="C4254" t="str">
        <f>IFERROR(__xludf.DUMMYFUNCTION("GOOGLETRANSLATE(B4254, ""fr"", ""en"")"),"Very well very well")</f>
        <v>Very well very well</v>
      </c>
    </row>
    <row r="4255">
      <c r="A4255" s="1">
        <v>5.0</v>
      </c>
      <c r="B4255" s="1" t="s">
        <v>4210</v>
      </c>
      <c r="C4255" t="str">
        <f>IFERROR(__xludf.DUMMYFUNCTION("GOOGLETRANSLATE(B4255, ""fr"", ""en"")"),"Comfortable pull Extremely comfortable and very well designed jadore")</f>
        <v>Comfortable pull Extremely comfortable and very well designed jadore</v>
      </c>
    </row>
    <row r="4256">
      <c r="A4256" s="1">
        <v>5.0</v>
      </c>
      <c r="B4256" s="1" t="s">
        <v>4211</v>
      </c>
      <c r="C4256" t="str">
        <f>IFERROR(__xludf.DUMMYFUNCTION("GOOGLETRANSLATE(B4256, ""fr"", ""en"")"),"It is miraculous! After reading hundreds of positive reviews, I decided to buy one. I use 30 minutes a day to force 70. My knee pain that radiated throughout the fibula and femur which kept me awake disappeared within a few days. I quickly walk again with"&amp;"out a limp. It is miraculous!")</f>
        <v>It is miraculous! After reading hundreds of positive reviews, I decided to buy one. I use 30 minutes a day to force 70. My knee pain that radiated throughout the fibula and femur which kept me awake disappeared within a few days. I quickly walk again without a limp. It is miraculous!</v>
      </c>
    </row>
    <row r="4257">
      <c r="A4257" s="1">
        <v>5.0</v>
      </c>
      <c r="B4257" s="1" t="s">
        <v>4212</v>
      </c>
      <c r="C4257" t="str">
        <f>IFERROR(__xludf.DUMMYFUNCTION("GOOGLETRANSLATE(B4257, ""fr"", ""en"")"),"Fast delivery Fast delivery Complies Very satisfied")</f>
        <v>Fast delivery Fast delivery Complies Very satisfied</v>
      </c>
    </row>
    <row r="4258">
      <c r="A4258" s="1">
        <v>5.0</v>
      </c>
      <c r="B4258" s="1" t="s">
        <v>4213</v>
      </c>
      <c r="C4258" t="str">
        <f>IFERROR(__xludf.DUMMYFUNCTION("GOOGLETRANSLATE(B4258, ""fr"", ""en"")"),"Practical and adaptable Adaptable to Medela tires milk and pacifier Calma. Strong, easy to clean. No problem for the dishwasher and sterilization.")</f>
        <v>Practical and adaptable Adaptable to Medela tires milk and pacifier Calma. Strong, easy to clean. No problem for the dishwasher and sterilization.</v>
      </c>
    </row>
    <row r="4259">
      <c r="A4259" s="1">
        <v>5.0</v>
      </c>
      <c r="B4259" s="1" t="s">
        <v>4214</v>
      </c>
      <c r="C4259" t="str">
        <f>IFERROR(__xludf.DUMMYFUNCTION("GOOGLETRANSLATE(B4259, ""fr"", ""en"")"),"Disinfecting Wipes Purchased in the program save by subscribing 'this allows a lot of wipes good value they are thick - feel good! ppermettent and small-time cleanings including toilets.")</f>
        <v>Disinfecting Wipes Purchased in the program save by subscribing 'this allows a lot of wipes good value they are thick - feel good! ppermettent and small-time cleanings including toilets.</v>
      </c>
    </row>
    <row r="4260">
      <c r="A4260" s="1">
        <v>5.0</v>
      </c>
      <c r="B4260" s="1" t="s">
        <v>4215</v>
      </c>
      <c r="C4260" t="str">
        <f>IFERROR(__xludf.DUMMYFUNCTION("GOOGLETRANSLATE(B4260, ""fr"", ""en"")"),"Perfect I am very satisfied, it does a very good job! I do a lot of creations and is therefore very useful to me. Easy to use, everything is perfect for me!")</f>
        <v>Perfect I am very satisfied, it does a very good job! I do a lot of creations and is therefore very useful to me. Easy to use, everything is perfect for me!</v>
      </c>
    </row>
    <row r="4261">
      <c r="A4261" s="1">
        <v>2.0</v>
      </c>
      <c r="B4261" s="1" t="s">
        <v>4216</v>
      </c>
      <c r="C4261" t="str">
        <f>IFERROR(__xludf.DUMMYFUNCTION("GOOGLETRANSLATE(B4261, ""fr"", ""en"")"),"Leaking After 10 months of daily use, the kettle leaks at the window :(")</f>
        <v>Leaking After 10 months of daily use, the kettle leaks at the window :(</v>
      </c>
    </row>
    <row r="4262">
      <c r="A4262" s="1">
        <v>1.0</v>
      </c>
      <c r="B4262" s="1" t="s">
        <v>4217</v>
      </c>
      <c r="C4262" t="str">
        <f>IFERROR(__xludf.DUMMYFUNCTION("GOOGLETRANSLATE(B4262, ""fr"", ""en"")"),"Not durable enough After 2 months of normal use and very satisfactory, the bottle warmer longer works. We do not recommandonc product.")</f>
        <v>Not durable enough After 2 months of normal use and very satisfactory, the bottle warmer longer works. We do not recommandonc product.</v>
      </c>
    </row>
    <row r="4263">
      <c r="A4263" s="1">
        <v>1.0</v>
      </c>
      <c r="B4263" s="1" t="s">
        <v>4218</v>
      </c>
      <c r="C4263" t="str">
        <f>IFERROR(__xludf.DUMMYFUNCTION("GOOGLETRANSLATE(B4263, ""fr"", ""en"")"),"defective very disappointed not buying French and more quickly discharged does not take over 20mn.Madame Rezolier")</f>
        <v>defective very disappointed not buying French and more quickly discharged does not take over 20mn.Madame Rezolier</v>
      </c>
    </row>
    <row r="4264">
      <c r="A4264" s="1">
        <v>3.0</v>
      </c>
      <c r="B4264" s="1" t="s">
        <v>4219</v>
      </c>
      <c r="C4264" t="str">
        <f>IFERROR(__xludf.DUMMYFUNCTION("GOOGLETRANSLATE(B4264, ""fr"", ""en"")"),"Good but .. Used in an uninhabited house, they are saturated in 1 week. So I would say they are more effective in normal condition.")</f>
        <v>Good but .. Used in an uninhabited house, they are saturated in 1 week. So I would say they are more effective in normal condition.</v>
      </c>
    </row>
    <row r="4265">
      <c r="A4265" s="1">
        <v>3.0</v>
      </c>
      <c r="B4265" s="1" t="s">
        <v>4220</v>
      </c>
      <c r="C4265" t="str">
        <f>IFERROR(__xludf.DUMMYFUNCTION("GOOGLETRANSLATE(B4265, ""fr"", ""en"")"),"Pretty necklace necklace without it's still okay to knock which is a shame. I was surprised by its lightness. Small charms middle is not centered it disturbed me, so, I managed to move it by adding a ring to refocus. Oh and also it is not as long as in th"&amp;"e photo. Or the girl is very small and it's me that is too large: p")</f>
        <v>Pretty necklace necklace without it's still okay to knock which is a shame. I was surprised by its lightness. Small charms middle is not centered it disturbed me, so, I managed to move it by adding a ring to refocus. Oh and also it is not as long as in the photo. Or the girl is very small and it's me that is too large: p</v>
      </c>
    </row>
    <row r="4266">
      <c r="A4266" s="1">
        <v>4.0</v>
      </c>
      <c r="B4266" s="1" t="s">
        <v>4221</v>
      </c>
      <c r="C4266" t="str">
        <f>IFERROR(__xludf.DUMMYFUNCTION("GOOGLETRANSLATE(B4266, ""fr"", ""en"")"),"Good product, good service Quality / good price. The sound is very good for this price range. The helmet green head a little, making a little ears hurt after a while, but otherwise it is quite comfortable to wear. I found the fragile activation button: mi"&amp;"ne had broken after a month, but the seller contacted me quickly to replace the defective product. Excellent approach by customer service.")</f>
        <v>Good product, good service Quality / good price. The sound is very good for this price range. The helmet green head a little, making a little ears hurt after a while, but otherwise it is quite comfortable to wear. I found the fragile activation button: mine had broken after a month, but the seller contacted me quickly to replace the defective product. Excellent approach by customer service.</v>
      </c>
    </row>
    <row r="4267">
      <c r="A4267" s="1">
        <v>4.0</v>
      </c>
      <c r="B4267" s="1" t="s">
        <v>4222</v>
      </c>
      <c r="C4267" t="str">
        <f>IFERROR(__xludf.DUMMYFUNCTION("GOOGLETRANSLATE(B4267, ""fr"", ""en"")"),"Armenian Paper Product already known and used regularly to remove odors especially in the toilet, I can not find in stores.")</f>
        <v>Armenian Paper Product already known and used regularly to remove odors especially in the toilet, I can not find in stores.</v>
      </c>
    </row>
    <row r="4268">
      <c r="A4268" s="1">
        <v>4.0</v>
      </c>
      <c r="B4268" s="1" t="s">
        <v>4223</v>
      </c>
      <c r="C4268" t="str">
        <f>IFERROR(__xludf.DUMMYFUNCTION("GOOGLETRANSLATE(B4268, ""fr"", ""en"")"),"Pretty cool I have since 2 days so I can not comment on autonomy. Its level, it will ... low are not correct ... shame. but for the price it was good headphones with good comfort and style. And besides, the media loading recharge your mobile. I recommend")</f>
        <v>Pretty cool I have since 2 days so I can not comment on autonomy. Its level, it will ... low are not correct ... shame. but for the price it was good headphones with good comfort and style. And besides, the media loading recharge your mobile. I recommend</v>
      </c>
    </row>
    <row r="4269">
      <c r="A4269" s="1">
        <v>4.0</v>
      </c>
      <c r="B4269" s="1" t="s">
        <v>4224</v>
      </c>
      <c r="C4269" t="str">
        <f>IFERROR(__xludf.DUMMYFUNCTION("GOOGLETRANSLATE(B4269, ""fr"", ""en"")"),"6 pairs I received 6 pairs of socks I had not seen I thought there were 3 pairs but in the product description 6 otherwise good pairs")</f>
        <v>6 pairs I received 6 pairs of socks I had not seen I thought there were 3 pairs but in the product description 6 otherwise good pairs</v>
      </c>
    </row>
    <row r="4270">
      <c r="A4270" s="1">
        <v>5.0</v>
      </c>
      <c r="B4270" s="1" t="s">
        <v>4225</v>
      </c>
      <c r="C4270" t="str">
        <f>IFERROR(__xludf.DUMMYFUNCTION("GOOGLETRANSLATE(B4270, ""fr"", ""en"")"),"Super birth gift box birth with 4 bottles, a bottle brush and a pacifier. There are two bottles of 125ml for newborns with teats slow flow rates and two green bottles of 260ml milk for the first ages with average flow teats. The brush is handy and allows "&amp;"to wash bottles and teats by removing milk residues. This is a really nice case and very useful to start with a newborn baby, the price is reasonable. This can make a birth gift for a little girl or a little boy because the colors are neutral. I am very s"&amp;"atisfied and recommend.")</f>
        <v>Super birth gift box birth with 4 bottles, a bottle brush and a pacifier. There are two bottles of 125ml for newborns with teats slow flow rates and two green bottles of 260ml milk for the first ages with average flow teats. The brush is handy and allows to wash bottles and teats by removing milk residues. This is a really nice case and very useful to start with a newborn baby, the price is reasonable. This can make a birth gift for a little girl or a little boy because the colors are neutral. I am very satisfied and recommend.</v>
      </c>
    </row>
    <row r="4271">
      <c r="A4271" s="1">
        <v>5.0</v>
      </c>
      <c r="B4271" s="1" t="s">
        <v>4226</v>
      </c>
      <c r="C4271" t="str">
        <f>IFERROR(__xludf.DUMMYFUNCTION("GOOGLETRANSLATE(B4271, ""fr"", ""en"")"),"👍 Professional logistic operator")</f>
        <v>👍 Professional logistic operator</v>
      </c>
    </row>
    <row r="4272">
      <c r="A4272" s="1">
        <v>5.0</v>
      </c>
      <c r="B4272" s="1" t="s">
        <v>4227</v>
      </c>
      <c r="C4272" t="str">
        <f>IFERROR(__xludf.DUMMYFUNCTION("GOOGLETRANSLATE(B4272, ""fr"", ""en"")"),"Button batteries I ordered these batteries for Christmas toys and small candles imitation candles. These cells operate perfectly and priced it's prime. I recommend these batteries and I give 5 stars")</f>
        <v>Button batteries I ordered these batteries for Christmas toys and small candles imitation candles. These cells operate perfectly and priced it's prime. I recommend these batteries and I give 5 stars</v>
      </c>
    </row>
    <row r="4273">
      <c r="A4273" s="1">
        <v>5.0</v>
      </c>
      <c r="B4273" s="1" t="s">
        <v>4228</v>
      </c>
      <c r="C4273" t="str">
        <f>IFERROR(__xludf.DUMMYFUNCTION("GOOGLETRANSLATE(B4273, ""fr"", ""en"")"),"Basketball safety with steel end I ve ordered black sneakers for 37 travail.taille impecable n .I have no pain with 8heures.avec I wear the warmth of yesterday I haven not even sweat of pieds.elle are not heavy .for the moment I am working contente.livrai"&amp;"son rapide.je large area .and I am al aise.je recommend them.")</f>
        <v>Basketball safety with steel end I ve ordered black sneakers for 37 travail.taille impecable n .I have no pain with 8heures.avec I wear the warmth of yesterday I haven not even sweat of pieds.elle are not heavy .for the moment I am working contente.livraison rapide.je large area .and I am al aise.je recommend them.</v>
      </c>
    </row>
    <row r="4274">
      <c r="A4274" s="1">
        <v>5.0</v>
      </c>
      <c r="B4274" s="1" t="s">
        <v>4229</v>
      </c>
      <c r="C4274" t="str">
        <f>IFERROR(__xludf.DUMMYFUNCTION("GOOGLETRANSLATE(B4274, ""fr"", ""en"")"),"Tennis All right pair sent quickly and in a handy pouch .. My dils love and finally decided to tie his shoelaces alone :-)")</f>
        <v>Tennis All right pair sent quickly and in a handy pouch .. My dils love and finally decided to tie his shoelaces alone :-)</v>
      </c>
    </row>
    <row r="4275">
      <c r="A4275" s="1">
        <v>5.0</v>
      </c>
      <c r="B4275" s="1" t="s">
        <v>4230</v>
      </c>
      <c r="C4275" t="str">
        <f>IFERROR(__xludf.DUMMYFUNCTION("GOOGLETRANSLATE(B4275, ""fr"", ""en"")"),"Cartridges for EPSON XP 325 cartridges purchased for an Epson 325 XP. Compatible, easy to install and very good print quality. 👍 perfect.")</f>
        <v>Cartridges for EPSON XP 325 cartridges purchased for an Epson 325 XP. Compatible, easy to install and very good print quality. 👍 perfect.</v>
      </c>
    </row>
    <row r="4276">
      <c r="A4276" s="1">
        <v>5.0</v>
      </c>
      <c r="B4276" s="1" t="s">
        <v>4231</v>
      </c>
      <c r="C4276" t="str">
        <f>IFERROR(__xludf.DUMMYFUNCTION("GOOGLETRANSLATE(B4276, ""fr"", ""en"")"),"Glad phenomenal autonomy of this headset. Too bad there is not a system that automatically cuts the noise reduction because if you forget to put the switch in the off position when asking the helmet remains active and will drain the battery. Fortunately a"&amp;"s noise reduction, certainly effective in the bass is very average in mid-high, I do not use it. In normal use autonomy is completely awesome!")</f>
        <v>Glad phenomenal autonomy of this headset. Too bad there is not a system that automatically cuts the noise reduction because if you forget to put the switch in the off position when asking the helmet remains active and will drain the battery. Fortunately as noise reduction, certainly effective in the bass is very average in mid-high, I do not use it. In normal use autonomy is completely awesome!</v>
      </c>
    </row>
    <row r="4277">
      <c r="A4277" s="1">
        <v>5.0</v>
      </c>
      <c r="B4277" s="1" t="s">
        <v>4232</v>
      </c>
      <c r="C4277" t="str">
        <f>IFERROR(__xludf.DUMMYFUNCTION("GOOGLETRANSLATE(B4277, ""fr"", ""en"")"),"Plug &amp; amp; Play, ergonomic with handy features Recognition by the computer immediately. You can scroll through the slides, go back, start the presentation mode, or displaying a blank page. The laser works well. Please allow 2 AAA batteries.")</f>
        <v>Plug &amp; amp; Play, ergonomic with handy features Recognition by the computer immediately. You can scroll through the slides, go back, start the presentation mode, or displaying a blank page. The laser works well. Please allow 2 AAA batteries.</v>
      </c>
    </row>
    <row r="4278">
      <c r="A4278" s="1">
        <v>5.0</v>
      </c>
      <c r="B4278" s="1" t="s">
        <v>4233</v>
      </c>
      <c r="C4278" t="str">
        <f>IFERROR(__xludf.DUMMYFUNCTION("GOOGLETRANSLATE(B4278, ""fr"", ""en"")"),"Grand QUO VADIS Hello, Always the same treat for my wife who utise a pro ..... always the same quality of service to spare computers, and recyclable after a few years ..... .    Thank you and happy new year")</f>
        <v>Grand QUO VADIS Hello, Always the same treat for my wife who utise a pro ..... always the same quality of service to spare computers, and recyclable after a few years ..... .    Thank you and happy new year</v>
      </c>
    </row>
    <row r="4279">
      <c r="A4279" s="1">
        <v>5.0</v>
      </c>
      <c r="B4279" s="1" t="s">
        <v>4234</v>
      </c>
      <c r="C4279" t="str">
        <f>IFERROR(__xludf.DUMMYFUNCTION("GOOGLETRANSLATE(B4279, ""fr"", ""en"")"),"sweat shirt very good buy for me as simple and c is what I like more plain color c perfect I will recommend to aillor")</f>
        <v>sweat shirt very good buy for me as simple and c is what I like more plain color c perfect I will recommend to aillor</v>
      </c>
    </row>
    <row r="4280">
      <c r="A4280" s="1">
        <v>5.0</v>
      </c>
      <c r="B4280" s="1" t="s">
        <v>4235</v>
      </c>
      <c r="C4280" t="str">
        <f>IFERROR(__xludf.DUMMYFUNCTION("GOOGLETRANSLATE(B4280, ""fr"", ""en"")"),"Recommend J bought this for my wife who is very happy, she's using it for sports, take the headphones very well. Transmission allows the automatic loading and displays the battery level thereby avoid falling short of batterie.de addition, it is possible t"&amp;"o charge the phone with the case of cr headphones is very good value pratique.tres price")</f>
        <v>Recommend J bought this for my wife who is very happy, she's using it for sports, take the headphones very well. Transmission allows the automatic loading and displays the battery level thereby avoid falling short of batterie.de addition, it is possible to charge the phone with the case of cr headphones is very good value pratique.tres price</v>
      </c>
    </row>
    <row r="4281">
      <c r="A4281" s="1">
        <v>5.0</v>
      </c>
      <c r="B4281" s="1" t="s">
        <v>4236</v>
      </c>
      <c r="C4281" t="str">
        <f>IFERROR(__xludf.DUMMYFUNCTION("GOOGLETRANSLATE(B4281, ""fr"", ""en"")"),"Is that it will on Samsung connected watches This bracelet is at the top for Samsung s2 and s3 watches THANKS")</f>
        <v>Is that it will on Samsung connected watches This bracelet is at the top for Samsung s2 and s3 watches THANKS</v>
      </c>
    </row>
    <row r="4282">
      <c r="A4282" s="1">
        <v>5.0</v>
      </c>
      <c r="B4282" s="1" t="s">
        <v>4237</v>
      </c>
      <c r="C4282" t="str">
        <f>IFERROR(__xludf.DUMMYFUNCTION("GOOGLETRANSLATE(B4282, ""fr"", ""en"")"),"Impeccable At top")</f>
        <v>Impeccable At top</v>
      </c>
    </row>
    <row r="4283">
      <c r="A4283" s="1">
        <v>5.0</v>
      </c>
      <c r="B4283" s="1" t="s">
        <v>4238</v>
      </c>
      <c r="C4283" t="str">
        <f>IFERROR(__xludf.DUMMYFUNCTION("GOOGLETRANSLATE(B4283, ""fr"", ""en"")"),"Super connected shows I love, this is my 2nd connected watch, very happy, easy to use.")</f>
        <v>Super connected shows I love, this is my 2nd connected watch, very happy, easy to use.</v>
      </c>
    </row>
    <row r="4284">
      <c r="A4284" s="1">
        <v>5.0</v>
      </c>
      <c r="B4284" s="1" t="s">
        <v>4239</v>
      </c>
      <c r="C4284" t="str">
        <f>IFERROR(__xludf.DUMMYFUNCTION("GOOGLETRANSLATE(B4284, ""fr"", ""en"")"),"👏 👏")</f>
        <v>👏 👏</v>
      </c>
    </row>
    <row r="4285">
      <c r="A4285" s="1">
        <v>2.0</v>
      </c>
      <c r="B4285" s="1" t="s">
        <v>4240</v>
      </c>
      <c r="C4285" t="str">
        <f>IFERROR(__xludf.DUMMYFUNCTION("GOOGLETRANSLATE(B4285, ""fr"", ""en"")"),"Bad shoes too small so they hurt my feet. They are also damaged very easily, especially in terms of the sole")</f>
        <v>Bad shoes too small so they hurt my feet. They are also damaged very easily, especially in terms of the sole</v>
      </c>
    </row>
    <row r="4286">
      <c r="A4286" s="1">
        <v>1.0</v>
      </c>
      <c r="B4286" s="1" t="s">
        <v>4241</v>
      </c>
      <c r="C4286" t="str">
        <f>IFERROR(__xludf.DUMMYFUNCTION("GOOGLETRANSLATE(B4286, ""fr"", ""en"")"),"not for my shoes")</f>
        <v>not for my shoes</v>
      </c>
    </row>
    <row r="4287">
      <c r="A4287" s="1">
        <v>1.0</v>
      </c>
      <c r="B4287" s="1" t="s">
        <v>4242</v>
      </c>
      <c r="C4287" t="str">
        <f>IFERROR(__xludf.DUMMYFUNCTION("GOOGLETRANSLATE(B4287, ""fr"", ""en"")"),"somthron too late occurs too late for me I did not see the cotton in this product resembles a cigarette paper")</f>
        <v>somthron too late occurs too late for me I did not see the cotton in this product resembles a cigarette paper</v>
      </c>
    </row>
    <row r="4288">
      <c r="A4288" s="1">
        <v>3.0</v>
      </c>
      <c r="B4288" s="1" t="s">
        <v>4243</v>
      </c>
      <c r="C4288" t="str">
        <f>IFERROR(__xludf.DUMMYFUNCTION("GOOGLETRANSLATE(B4288, ""fr"", ""en"")"),"Earphones guaranteed? Hello I wanted to know if the headphones were guaranteed because often the sound cuts and to listen to music that is not great.")</f>
        <v>Earphones guaranteed? Hello I wanted to know if the headphones were guaranteed because often the sound cuts and to listen to music that is not great.</v>
      </c>
    </row>
    <row r="4289">
      <c r="A4289" s="1">
        <v>3.0</v>
      </c>
      <c r="B4289" s="1" t="s">
        <v>4244</v>
      </c>
      <c r="C4289" t="str">
        <f>IFERROR(__xludf.DUMMYFUNCTION("GOOGLETRANSLATE(B4289, ""fr"", ""en"")"),"For fans The sweet is for my daughter who is a fan of the group. For me, I find it a bit expensive, but at this level, we can not judge ... In terms of product quality I find my way through, nothing more.")</f>
        <v>For fans The sweet is for my daughter who is a fan of the group. For me, I find it a bit expensive, but at this level, we can not judge ... In terms of product quality I find my way through, nothing more.</v>
      </c>
    </row>
    <row r="4290">
      <c r="A4290" s="1">
        <v>4.0</v>
      </c>
      <c r="B4290" s="1" t="s">
        <v>4245</v>
      </c>
      <c r="C4290" t="str">
        <f>IFERROR(__xludf.DUMMYFUNCTION("GOOGLETRANSLATE(B4290, ""fr"", ""en"")"),"Heater mat Beurer Article corresponds exactly to my expectations (size and quality) Note EXCELLENT AFTER SALE Amazon and Electricity corner I recommend")</f>
        <v>Heater mat Beurer Article corresponds exactly to my expectations (size and quality) Note EXCELLENT AFTER SALE Amazon and Electricity corner I recommend</v>
      </c>
    </row>
    <row r="4291">
      <c r="A4291" s="1">
        <v>4.0</v>
      </c>
      <c r="B4291" s="1" t="s">
        <v>4246</v>
      </c>
      <c r="C4291" t="str">
        <f>IFERROR(__xludf.DUMMYFUNCTION("GOOGLETRANSLATE(B4291, ""fr"", ""en"")"),"Vintage is back better than the pictures, the bracelet looks fragile, the price is good for a watch at 30 €, perfect delivery")</f>
        <v>Vintage is back better than the pictures, the bracelet looks fragile, the price is good for a watch at 30 €, perfect delivery</v>
      </c>
    </row>
    <row r="4292">
      <c r="A4292" s="1">
        <v>4.0</v>
      </c>
      <c r="B4292" s="1" t="s">
        <v>4247</v>
      </c>
      <c r="C4292" t="str">
        <f>IFERROR(__xludf.DUMMYFUNCTION("GOOGLETRANSLATE(B4292, ""fr"", ""en"")"),"Confirms my expectations lightweight shoe and flexible, rather for winter use autumn as keeps you warm, good value for use only walking and driving")</f>
        <v>Confirms my expectations lightweight shoe and flexible, rather for winter use autumn as keeps you warm, good value for use only walking and driving</v>
      </c>
    </row>
    <row r="4293">
      <c r="A4293" s="1">
        <v>4.0</v>
      </c>
      <c r="B4293" s="1" t="s">
        <v>4248</v>
      </c>
      <c r="C4293" t="str">
        <f>IFERROR(__xludf.DUMMYFUNCTION("GOOGLETRANSLATE(B4293, ""fr"", ""en"")"),"To try. Filter actually recording. Not bad.")</f>
        <v>To try. Filter actually recording. Not bad.</v>
      </c>
    </row>
    <row r="4294">
      <c r="A4294" s="1">
        <v>5.0</v>
      </c>
      <c r="B4294" s="1" t="s">
        <v>4249</v>
      </c>
      <c r="C4294" t="str">
        <f>IFERROR(__xludf.DUMMYFUNCTION("GOOGLETRANSLATE(B4294, ""fr"", ""en"")"),"Command unusable arrived quickly. No problem, NICKEL impression immediately recognized my printer that is new. The second time my cartridges were to change, I am not arrived to put my printer started, I had to redeem origins cartridges were empty when I a"&amp;"gain tried gohepi even problem and now I have regained my printer cartridge original pact is epson 255. Since I take care of an association we print a lot so I bought an old printer model for now it to seems to work but my cartridges are not the same they"&amp;" are 16 so I spent a lot of money for nothing")</f>
        <v>Command unusable arrived quickly. No problem, NICKEL impression immediately recognized my printer that is new. The second time my cartridges were to change, I am not arrived to put my printer started, I had to redeem origins cartridges were empty when I again tried gohepi even problem and now I have regained my printer cartridge original pact is epson 255. Since I take care of an association we print a lot so I bought an old printer model for now it to seems to work but my cartridges are not the same they are 16 so I spent a lot of money for nothing</v>
      </c>
    </row>
    <row r="4295">
      <c r="A4295" s="1">
        <v>5.0</v>
      </c>
      <c r="B4295" s="1" t="s">
        <v>4250</v>
      </c>
      <c r="C4295" t="str">
        <f>IFERROR(__xludf.DUMMYFUNCTION("GOOGLETRANSLATE(B4295, ""fr"", ""en"")"),"earrings I bought for my daughter for 9 years, but I put them too. They are super nice as well for a child than for an adult.")</f>
        <v>earrings I bought for my daughter for 9 years, but I put them too. They are super nice as well for a child than for an adult.</v>
      </c>
    </row>
    <row r="4296">
      <c r="A4296" s="1">
        <v>5.0</v>
      </c>
      <c r="B4296" s="1" t="s">
        <v>4251</v>
      </c>
      <c r="C4296" t="str">
        <f>IFERROR(__xludf.DUMMYFUNCTION("GOOGLETRANSLATE(B4296, ""fr"", ""en"")"),"great great product as always with north face")</f>
        <v>great great product as always with north face</v>
      </c>
    </row>
    <row r="4297">
      <c r="A4297" s="1">
        <v>5.0</v>
      </c>
      <c r="B4297" s="1" t="s">
        <v>4252</v>
      </c>
      <c r="C4297" t="str">
        <f>IFERROR(__xludf.DUMMYFUNCTION("GOOGLETRANSLATE(B4297, ""fr"", ""en"")"),"dawn simulator lamp and twilight I bought this lamp to me at the time, which helped me tremendously morning to wake me in shape or help me better sleep. Everything is super adjustable at that with which one wants to wake and volume of the required sound a"&amp;"nd easy to use. I bought the lamps in the same kind later for my children who, despite positive comments have absolutely never worked in their wake or sleep. I decided to invest in two new lamps for each of them and for revivals are ultra simple, especial"&amp;"ly for my older who found it hard to wake up and often cranky (9 years). Since this is the first up and prepared, and good humor :) short, happiness, I recommend +++")</f>
        <v>dawn simulator lamp and twilight I bought this lamp to me at the time, which helped me tremendously morning to wake me in shape or help me better sleep. Everything is super adjustable at that with which one wants to wake and volume of the required sound and easy to use. I bought the lamps in the same kind later for my children who, despite positive comments have absolutely never worked in their wake or sleep. I decided to invest in two new lamps for each of them and for revivals are ultra simple, especially for my older who found it hard to wake up and often cranky (9 years). Since this is the first up and prepared, and good humor :) short, happiness, I recommend +++</v>
      </c>
    </row>
    <row r="4298">
      <c r="A4298" s="1">
        <v>5.0</v>
      </c>
      <c r="B4298" s="1" t="s">
        <v>4253</v>
      </c>
      <c r="C4298" t="str">
        <f>IFERROR(__xludf.DUMMYFUNCTION("GOOGLETRANSLATE(B4298, ""fr"", ""en"")"),"Article Converse very satisfactory, in line with my expectations. I followed the advice of customers ordering a size smaller than my size and it's perfect!")</f>
        <v>Article Converse very satisfactory, in line with my expectations. I followed the advice of customers ordering a size smaller than my size and it's perfect!</v>
      </c>
    </row>
    <row r="4299">
      <c r="A4299" s="1">
        <v>5.0</v>
      </c>
      <c r="B4299" s="1" t="s">
        <v>4254</v>
      </c>
      <c r="C4299" t="str">
        <f>IFERROR(__xludf.DUMMYFUNCTION("GOOGLETRANSLATE(B4299, ""fr"", ""en"")"),"Okay Nothing to say, the shoe is perfect. It can make any occasion, for hiking or just the city, it goes with everything.")</f>
        <v>Okay Nothing to say, the shoe is perfect. It can make any occasion, for hiking or just the city, it goes with everything.</v>
      </c>
    </row>
    <row r="4300">
      <c r="A4300" s="1">
        <v>5.0</v>
      </c>
      <c r="B4300" s="1" t="s">
        <v>4255</v>
      </c>
      <c r="C4300" t="str">
        <f>IFERROR(__xludf.DUMMYFUNCTION("GOOGLETRANSLATE(B4300, ""fr"", ""en"")"),"Good product Very good quality and size very well. A worn with trousers long sweater. Or dress with tights. In the top. Wash and go to the dryer does not move. I recommend")</f>
        <v>Good product Very good quality and size very well. A worn with trousers long sweater. Or dress with tights. In the top. Wash and go to the dryer does not move. I recommend</v>
      </c>
    </row>
    <row r="4301">
      <c r="A4301" s="1">
        <v>5.0</v>
      </c>
      <c r="B4301" s="1" t="s">
        <v>4256</v>
      </c>
      <c r="C4301" t="str">
        <f>IFERROR(__xludf.DUMMYFUNCTION("GOOGLETRANSLATE(B4301, ""fr"", ""en"")"),"For sports or jogging very beautiful city Nice quality very soft and soft tissues as well for the sport that with a long tunic After fitting that jogging is very convincing")</f>
        <v>For sports or jogging very beautiful city Nice quality very soft and soft tissues as well for the sport that with a long tunic After fitting that jogging is very convincing</v>
      </c>
    </row>
    <row r="4302">
      <c r="A4302" s="1">
        <v>5.0</v>
      </c>
      <c r="B4302" s="1" t="s">
        <v>4257</v>
      </c>
      <c r="C4302" t="str">
        <f>IFERROR(__xludf.DUMMYFUNCTION("GOOGLETRANSLATE(B4302, ""fr"", ""en"")"),"Great safety shoe in")</f>
        <v>Great safety shoe in</v>
      </c>
    </row>
    <row r="4303">
      <c r="A4303" s="1">
        <v>5.0</v>
      </c>
      <c r="B4303" s="1" t="s">
        <v>4258</v>
      </c>
      <c r="C4303" t="str">
        <f>IFERROR(__xludf.DUMMYFUNCTION("GOOGLETRANSLATE(B4303, ""fr"", ""en"")"),"Very good quality I m serve to feed strips of LEDs. It's perfect. Very good quality.")</f>
        <v>Very good quality I m serve to feed strips of LEDs. It's perfect. Very good quality.</v>
      </c>
    </row>
    <row r="4304">
      <c r="A4304" s="1">
        <v>5.0</v>
      </c>
      <c r="B4304" s="1" t="s">
        <v>4259</v>
      </c>
      <c r="C4304" t="str">
        <f>IFERROR(__xludf.DUMMYFUNCTION("GOOGLETRANSLATE(B4304, ""fr"", ""en"")"),"Looks slippers !! Excellent product. As slippers !!! Warning take 1/2 sizes in Underwear")</f>
        <v>Looks slippers !! Excellent product. As slippers !!! Warning take 1/2 sizes in Underwear</v>
      </c>
    </row>
    <row r="4305">
      <c r="A4305" s="1">
        <v>5.0</v>
      </c>
      <c r="B4305" s="1" t="s">
        <v>4260</v>
      </c>
      <c r="C4305" t="str">
        <f>IFERROR(__xludf.DUMMYFUNCTION("GOOGLETRANSLATE(B4305, ""fr"", ""en"")"),"Patch Tiger Balm effective against aches Patch perfect balm for muscle pain tiger. It sticks well to the skin and heats quickly enough to alleviate aches.")</f>
        <v>Patch Tiger Balm effective against aches Patch perfect balm for muscle pain tiger. It sticks well to the skin and heats quickly enough to alleviate aches.</v>
      </c>
    </row>
    <row r="4306">
      <c r="A4306" s="1">
        <v>5.0</v>
      </c>
      <c r="B4306" s="1" t="s">
        <v>4261</v>
      </c>
      <c r="C4306" t="str">
        <f>IFERROR(__xludf.DUMMYFUNCTION("GOOGLETRANSLATE(B4306, ""fr"", ""en"")"),"Very satisfied A product of very good quality very easy to use and very useful for small angle rounder does not hurt himself with documents")</f>
        <v>Very satisfied A product of very good quality very easy to use and very useful for small angle rounder does not hurt himself with documents</v>
      </c>
    </row>
    <row r="4307">
      <c r="A4307" s="1">
        <v>5.0</v>
      </c>
      <c r="B4307" s="1" t="s">
        <v>4262</v>
      </c>
      <c r="C4307" t="str">
        <f>IFERROR(__xludf.DUMMYFUNCTION("GOOGLETRANSLATE(B4307, ""fr"", ""en"")"),"Testing successful I have been testing a fabric very end where I could not to anything with another much older pair. And there, very clean cut, scissors do not snag the fabric with a very good grip, which is a plus. I have not yet tried on a thicker fabri"&amp;"c but I think if you get there with a very thin cotton, there should not be any problem. Finally, the scissors came the day of delivery indicated. For now, that happiness!")</f>
        <v>Testing successful I have been testing a fabric very end where I could not to anything with another much older pair. And there, very clean cut, scissors do not snag the fabric with a very good grip, which is a plus. I have not yet tried on a thicker fabric but I think if you get there with a very thin cotton, there should not be any problem. Finally, the scissors came the day of delivery indicated. For now, that happiness!</v>
      </c>
    </row>
    <row r="4308">
      <c r="A4308" s="1">
        <v>5.0</v>
      </c>
      <c r="B4308" s="1" t="s">
        <v>4263</v>
      </c>
      <c r="C4308" t="str">
        <f>IFERROR(__xludf.DUMMYFUNCTION("GOOGLETRANSLATE(B4308, ""fr"", ""en"")"),"Basic but does what you ask him if you are looking for a pair of cheap bluetooth headphones, for occasional use it's perfect. I bought them for listening to music at low volume office, discreetly. Their small size makes them go unnoticed hair let loose. T"&amp;"he sound is okay, not great but okay. Lack some depth. A bit of sizzle when they are connected and that nothing is played. Comfort okay, they do not fall at all and are forgotten. Side noise reduction is not bad, it bothers me a lot personally becuase I h"&amp;"ear very loud the beating of my heart but I do not use it at all as plugs so much :) For the price c is very correct. Those 50, 60 or 120 € is probably better necessarily, but we have here for money.")</f>
        <v>Basic but does what you ask him if you are looking for a pair of cheap bluetooth headphones, for occasional use it's perfect. I bought them for listening to music at low volume office, discreetly. Their small size makes them go unnoticed hair let loose. The sound is okay, not great but okay. Lack some depth. A bit of sizzle when they are connected and that nothing is played. Comfort okay, they do not fall at all and are forgotten. Side noise reduction is not bad, it bothers me a lot personally becuase I hear very loud the beating of my heart but I do not use it at all as plugs so much :) For the price c is very correct. Those 50, 60 or 120 € is probably better necessarily, but we have here for money.</v>
      </c>
    </row>
    <row r="4309">
      <c r="A4309" s="1">
        <v>2.0</v>
      </c>
      <c r="B4309" s="1" t="s">
        <v>4264</v>
      </c>
      <c r="C4309" t="str">
        <f>IFERROR(__xludf.DUMMYFUNCTION("GOOGLETRANSLATE(B4309, ""fr"", ""en"")"),"I regret my purchase! I already knew the principle and had already tested. But then big disappointment ... After heated, the water bottle wet spring! So underwhelming ... The humidity is very uncomfortable .. Certe the price was more attractive than the c"&amp;"ompetition but suddenly it's still very expensive for a useless product! In short go your way ...")</f>
        <v>I regret my purchase! I already knew the principle and had already tested. But then big disappointment ... After heated, the water bottle wet spring! So underwhelming ... The humidity is very uncomfortable .. Certe the price was more attractive than the competition but suddenly it's still very expensive for a useless product! In short go your way ...</v>
      </c>
    </row>
    <row r="4310">
      <c r="A4310" s="1">
        <v>1.0</v>
      </c>
      <c r="B4310" s="1" t="s">
        <v>4265</v>
      </c>
      <c r="C4310" t="str">
        <f>IFERROR(__xludf.DUMMYFUNCTION("GOOGLETRANSLATE(B4310, ""fr"", ""en"")"),"Scam and abuse Basketball size 35 then that I had ordered 39 and they got dark I had ordered red, ashamed, c is the scam ..")</f>
        <v>Scam and abuse Basketball size 35 then that I had ordered 39 and they got dark I had ordered red, ashamed, c is the scam ..</v>
      </c>
    </row>
    <row r="4311">
      <c r="A4311" s="1">
        <v>1.0</v>
      </c>
      <c r="B4311" s="1" t="s">
        <v>4266</v>
      </c>
      <c r="C4311" t="str">
        <f>IFERROR(__xludf.DUMMYFUNCTION("GOOGLETRANSLATE(B4311, ""fr"", ""en"")"),"sometimes break very disappointed")</f>
        <v>sometimes break very disappointed</v>
      </c>
    </row>
    <row r="4312">
      <c r="A4312" s="1">
        <v>3.0</v>
      </c>
      <c r="B4312" s="1" t="s">
        <v>4267</v>
      </c>
      <c r="C4312" t="str">
        <f>IFERROR(__xludf.DUMMYFUNCTION("GOOGLETRANSLATE(B4312, ""fr"", ""en"")"),"Quality means least ... At first a bit difficult to set up ds the printer does not recognize. compel to force implementation. The ink is of medium quality less. The colors are not as vivid as the brand of the printer. But enough for DIY and children drawi"&amp;"ngs. For the job I recommend getting better.")</f>
        <v>Quality means least ... At first a bit difficult to set up ds the printer does not recognize. compel to force implementation. The ink is of medium quality less. The colors are not as vivid as the brand of the printer. But enough for DIY and children drawings. For the job I recommend getting better.</v>
      </c>
    </row>
    <row r="4313">
      <c r="A4313" s="1">
        <v>4.0</v>
      </c>
      <c r="B4313" s="1" t="s">
        <v>4268</v>
      </c>
      <c r="C4313" t="str">
        <f>IFERROR(__xludf.DUMMYFUNCTION("GOOGLETRANSLATE(B4313, ""fr"", ""en"")"),"very well very well")</f>
        <v>very well very well</v>
      </c>
    </row>
    <row r="4314">
      <c r="A4314" s="1">
        <v>4.0</v>
      </c>
      <c r="B4314" s="1" t="s">
        <v>4269</v>
      </c>
      <c r="C4314" t="str">
        <f>IFERROR(__xludf.DUMMYFUNCTION("GOOGLETRANSLATE(B4314, ""fr"", ""en"")"),"Good helmet The sound is pretty good but you have to put the volume louder to hear. I think it hurts the ears after a while listening. It does not isolate a lot of outside noise, then it certainly depends on the type of environment. I still find good qual"&amp;"ity / price ratio. Delivered quickly.")</f>
        <v>Good helmet The sound is pretty good but you have to put the volume louder to hear. I think it hurts the ears after a while listening. It does not isolate a lot of outside noise, then it certainly depends on the type of environment. I still find good quality / price ratio. Delivered quickly.</v>
      </c>
    </row>
    <row r="4315">
      <c r="A4315" s="1">
        <v>4.0</v>
      </c>
      <c r="B4315" s="1" t="s">
        <v>4270</v>
      </c>
      <c r="C4315" t="str">
        <f>IFERROR(__xludf.DUMMYFUNCTION("GOOGLETRANSLATE(B4315, ""fr"", ""en"")"),"Black Eastpack Kit Super kit, just a little b-mol is that it lacks space for about 7 to 8 pens. This is due to the model that is not rounded on the coasts, otherwise super strength and closing, true to the brand Eastpak. The price is justified. Nothing to"&amp;" say .")</f>
        <v>Black Eastpack Kit Super kit, just a little b-mol is that it lacks space for about 7 to 8 pens. This is due to the model that is not rounded on the coasts, otherwise super strength and closing, true to the brand Eastpak. The price is justified. Nothing to say .</v>
      </c>
    </row>
    <row r="4316">
      <c r="A4316" s="1">
        <v>4.0</v>
      </c>
      <c r="B4316" s="1" t="s">
        <v>4271</v>
      </c>
      <c r="C4316" t="str">
        <f>IFERROR(__xludf.DUMMYFUNCTION("GOOGLETRANSLATE(B4316, ""fr"", ""en"")"),"Some kinks ..... nevermind Received for testing free .... I'm used to putting style booties ""slippers"" for years in winter, so I tested these slippers. Received in a plastic bag with slightly deformed soles, a sequined look a little weird at first .... "&amp;"but quickly forgotten. Putting the foot in at first is bad because the foot is struggling to get to the bottom, must shoot well, it gives a foot print choking with embarrassing .... pressure that disappears after a few hours. In appearance, the slippers a"&amp;"re wide for my taste by against fluffy inside and underneath. The sole is not too thick, it feels so fast walking on a pebble or the like, but they are well slip. On the back of the slipper, there is a small ledge nice visually but has not used much, a le"&amp;"dge a little higher it would have had much better. In terms of size, I make the following brands 44/45, I took the same size available (44/45) and I think it's limit. So a product tested for free by 42/43 for my son, I also ordered another pair in 44/45 ("&amp;"pay) for myself. Defects my taste on this product are: - Side sequin .... not great but different version available - size available only by union of two sizes - just in size but jump two size change if ...... For price, it's still in the upper range for "&amp;"slippers. To see the time that the sole will last before tearing into two or other problems.")</f>
        <v>Some kinks ..... nevermind Received for testing free .... I'm used to putting style booties "slippers" for years in winter, so I tested these slippers. Received in a plastic bag with slightly deformed soles, a sequined look a little weird at first .... but quickly forgotten. Putting the foot in at first is bad because the foot is struggling to get to the bottom, must shoot well, it gives a foot print choking with embarrassing .... pressure that disappears after a few hours. In appearance, the slippers are wide for my taste by against fluffy inside and underneath. The sole is not too thick, it feels so fast walking on a pebble or the like, but they are well slip. On the back of the slipper, there is a small ledge nice visually but has not used much, a ledge a little higher it would have had much better. In terms of size, I make the following brands 44/45, I took the same size available (44/45) and I think it's limit. So a product tested for free by 42/43 for my son, I also ordered another pair in 44/45 (pay) for myself. Defects my taste on this product are: - Side sequin .... not great but different version available - size available only by union of two sizes - just in size but jump two size change if ...... For price, it's still in the upper range for slippers. To see the time that the sole will last before tearing into two or other problems.</v>
      </c>
    </row>
    <row r="4317">
      <c r="A4317" s="1">
        <v>5.0</v>
      </c>
      <c r="B4317" s="1" t="s">
        <v>4272</v>
      </c>
      <c r="C4317" t="str">
        <f>IFERROR(__xludf.DUMMYFUNCTION("GOOGLETRANSLATE(B4317, ""fr"", ""en"")"),"Gégnal I finally made the move ... great experience for my first wireless headset. I like its design ... great quality. I am delighted about it. Thank you so much.")</f>
        <v>Gégnal I finally made the move ... great experience for my first wireless headset. I like its design ... great quality. I am delighted about it. Thank you so much.</v>
      </c>
    </row>
    <row r="4318">
      <c r="A4318" s="1">
        <v>5.0</v>
      </c>
      <c r="B4318" s="1" t="s">
        <v>4273</v>
      </c>
      <c r="C4318" t="str">
        <f>IFERROR(__xludf.DUMMYFUNCTION("GOOGLETRANSLATE(B4318, ""fr"", ""en"")"),"Device satisfactory operation currently helmet purchased in mid-February 2019 and tested for 3 weeks. The operation is satisfactory for the time (sound quality, noise reduction). Reliability and quality of batteries to do with the time (I will change this"&amp;" assessment can be). Possibility of wired (I bought a parallel wire 5m for connecting to a TV).")</f>
        <v>Device satisfactory operation currently helmet purchased in mid-February 2019 and tested for 3 weeks. The operation is satisfactory for the time (sound quality, noise reduction). Reliability and quality of batteries to do with the time (I will change this assessment can be). Possibility of wired (I bought a parallel wire 5m for connecting to a TV).</v>
      </c>
    </row>
    <row r="4319">
      <c r="A4319" s="1">
        <v>5.0</v>
      </c>
      <c r="B4319" s="1" t="s">
        <v>4274</v>
      </c>
      <c r="C4319" t="str">
        <f>IFERROR(__xludf.DUMMYFUNCTION("GOOGLETRANSLATE(B4319, ""fr"", ""en"")"),"EXCELLENT VALUE FOR MONEY I bought it without conviction because it was to replace my beautiful Denon DL 103 I broke but has become overpriced (about 300 €) and there I am amazed with this price a moving coil cartridge with more sufficient output level to"&amp;" allow me to delete the pre preamp this is crazy and the sound is excellent especially with my Japanese and American direct prints may lack a bit of fishing, for example, heel shots in ""flamenco fever"" or Oscar Peterson ""we get request"" serious pêchus"&amp;" slightly less compared to the DL103 but until I win the lottery this is excellent though and for 10 times less")</f>
        <v>EXCELLENT VALUE FOR MONEY I bought it without conviction because it was to replace my beautiful Denon DL 103 I broke but has become overpriced (about 300 €) and there I am amazed with this price a moving coil cartridge with more sufficient output level to allow me to delete the pre preamp this is crazy and the sound is excellent especially with my Japanese and American direct prints may lack a bit of fishing, for example, heel shots in "flamenco fever" or Oscar Peterson "we get request" serious pêchus slightly less compared to the DL103 but until I win the lottery this is excellent though and for 10 times less</v>
      </c>
    </row>
    <row r="4320">
      <c r="A4320" s="1">
        <v>5.0</v>
      </c>
      <c r="B4320" s="1" t="s">
        <v>4275</v>
      </c>
      <c r="C4320" t="str">
        <f>IFERROR(__xludf.DUMMYFUNCTION("GOOGLETRANSLATE(B4320, ""fr"", ""en"")"),"Thank you ! Just thank you for designing this cushion which greatly relieves my back and my neck! I was not really sure which format to choose and opted for this model because it had the advantage of being small without losing quality. I am very pleased t"&amp;"hat provides massages, and every time I feel some pressure, he became my indispensable ally!")</f>
        <v>Thank you ! Just thank you for designing this cushion which greatly relieves my back and my neck! I was not really sure which format to choose and opted for this model because it had the advantage of being small without losing quality. I am very pleased that provides massages, and every time I feel some pressure, he became my indispensable ally!</v>
      </c>
    </row>
    <row r="4321">
      <c r="A4321" s="1">
        <v>5.0</v>
      </c>
      <c r="B4321" s="1" t="s">
        <v>4276</v>
      </c>
      <c r="C4321" t="str">
        <f>IFERROR(__xludf.DUMMYFUNCTION("GOOGLETRANSLATE(B4321, ""fr"", ""en"")"),"right size that fits the wrist should be all of the same size would be ideal ...")</f>
        <v>right size that fits the wrist should be all of the same size would be ideal ...</v>
      </c>
    </row>
    <row r="4322">
      <c r="A4322" s="1">
        <v>5.0</v>
      </c>
      <c r="B4322" s="1" t="s">
        <v>4277</v>
      </c>
      <c r="C4322" t="str">
        <f>IFERROR(__xludf.DUMMYFUNCTION("GOOGLETRANSLATE(B4322, ""fr"", ""en"")"),"Value at the top! Then there level value anything honestly say I recommend this product you can buy eyes closed it works very well in our TPE;)")</f>
        <v>Value at the top! Then there level value anything honestly say I recommend this product you can buy eyes closed it works very well in our TPE;)</v>
      </c>
    </row>
    <row r="4323">
      <c r="A4323" s="1">
        <v>5.0</v>
      </c>
      <c r="B4323" s="1" t="s">
        <v>2457</v>
      </c>
      <c r="C4323" t="str">
        <f>IFERROR(__xludf.DUMMYFUNCTION("GOOGLETRANSLATE(B4323, ""fr"", ""en"")"),"Ok Ok")</f>
        <v>Ok Ok</v>
      </c>
    </row>
    <row r="4324">
      <c r="A4324" s="1">
        <v>5.0</v>
      </c>
      <c r="B4324" s="1" t="s">
        <v>4278</v>
      </c>
      <c r="C4324" t="str">
        <f>IFERROR(__xludf.DUMMYFUNCTION("GOOGLETRANSLATE(B4324, ""fr"", ""en"")"),"Press briquette Simply perfect. I recommend to prepare the paper mache to make it beautiful you briquette compact paper.")</f>
        <v>Press briquette Simply perfect. I recommend to prepare the paper mache to make it beautiful you briquette compact paper.</v>
      </c>
    </row>
    <row r="4325">
      <c r="A4325" s="1">
        <v>5.0</v>
      </c>
      <c r="B4325" s="1" t="s">
        <v>4279</v>
      </c>
      <c r="C4325" t="str">
        <f>IFERROR(__xludf.DUMMYFUNCTION("GOOGLETRANSLATE(B4325, ""fr"", ""en"")"),"Perfect ! Superb this portable kettle! Great for take it everywhere, in his bag to go to work, drive, etc. Fast delivery, thank you!")</f>
        <v>Perfect ! Superb this portable kettle! Great for take it everywhere, in his bag to go to work, drive, etc. Fast delivery, thank you!</v>
      </c>
    </row>
    <row r="4326">
      <c r="A4326" s="1">
        <v>5.0</v>
      </c>
      <c r="B4326" s="1" t="s">
        <v>4280</v>
      </c>
      <c r="C4326" t="str">
        <f>IFERROR(__xludf.DUMMYFUNCTION("GOOGLETRANSLATE(B4326, ""fr"", ""en"")"),"I recommend Very good product.")</f>
        <v>I recommend Very good product.</v>
      </c>
    </row>
    <row r="4327">
      <c r="A4327" s="1">
        <v>5.0</v>
      </c>
      <c r="B4327" s="1" t="s">
        <v>4281</v>
      </c>
      <c r="C4327" t="str">
        <f>IFERROR(__xludf.DUMMYFUNCTION("GOOGLETRANSLATE(B4327, ""fr"", ""en"")"),"Very comfortable shoes A pleasure to wear them and walk and run with or")</f>
        <v>Very comfortable shoes A pleasure to wear them and walk and run with or</v>
      </c>
    </row>
    <row r="4328">
      <c r="A4328" s="1">
        <v>5.0</v>
      </c>
      <c r="B4328" s="1" t="s">
        <v>4282</v>
      </c>
      <c r="C4328" t="str">
        <f>IFERROR(__xludf.DUMMYFUNCTION("GOOGLETRANSLATE(B4328, ""fr"", ""en"")"),"Kettle Very good product that will allow you to boil water very quickly. Nice design, with a bandeau blue LED on and when it heats. Glass is transparent, with a large capacity water 2L, clearly display the water level. Easy to use, I recommend.")</f>
        <v>Kettle Very good product that will allow you to boil water very quickly. Nice design, with a bandeau blue LED on and when it heats. Glass is transparent, with a large capacity water 2L, clearly display the water level. Easy to use, I recommend.</v>
      </c>
    </row>
    <row r="4329">
      <c r="A4329" s="1">
        <v>5.0</v>
      </c>
      <c r="B4329" s="1" t="s">
        <v>4283</v>
      </c>
      <c r="C4329" t="str">
        <f>IFERROR(__xludf.DUMMYFUNCTION("GOOGLETRANSLATE(B4329, ""fr"", ""en"")"),"Perfect ! My kids love this collection.Parfait! Text well.")</f>
        <v>Perfect ! My kids love this collection.Parfait! Text well.</v>
      </c>
    </row>
    <row r="4330">
      <c r="A4330" s="1">
        <v>5.0</v>
      </c>
      <c r="B4330" s="1" t="s">
        <v>4284</v>
      </c>
      <c r="C4330" t="str">
        <f>IFERROR(__xludf.DUMMYFUNCTION("GOOGLETRANSLATE(B4330, ""fr"", ""en"")"),"Earphone Good quality headphones are convenient, provides a high quality sound. They hold well. The charge is reliable and beautiful design. The case is solid and does not take up space. I'm really happy with my headphones. I recommend it.")</f>
        <v>Earphone Good quality headphones are convenient, provides a high quality sound. They hold well. The charge is reliable and beautiful design. The case is solid and does not take up space. I'm really happy with my headphones. I recommend it.</v>
      </c>
    </row>
    <row r="4331">
      <c r="A4331" s="1">
        <v>5.0</v>
      </c>
      <c r="B4331" s="1" t="s">
        <v>4285</v>
      </c>
      <c r="C4331" t="str">
        <f>IFERROR(__xludf.DUMMYFUNCTION("GOOGLETRANSLATE(B4331, ""fr"", ""en"")"),"Well my daughter is thrilled Super beautiful pearls")</f>
        <v>Well my daughter is thrilled Super beautiful pearls</v>
      </c>
    </row>
    <row r="4332">
      <c r="A4332" s="1">
        <v>2.0</v>
      </c>
      <c r="B4332" s="1" t="s">
        <v>4286</v>
      </c>
      <c r="C4332" t="str">
        <f>IFERROR(__xludf.DUMMYFUNCTION("GOOGLETRANSLATE(B4332, ""fr"", ""en"")"),"Disappointed by this diffuser. The light is not working properly, the unit will stop only when he still water and a false contact on the switches. I am disappointed by the broadcaster.")</f>
        <v>Disappointed by this diffuser. The light is not working properly, the unit will stop only when he still water and a false contact on the switches. I am disappointed by the broadcaster.</v>
      </c>
    </row>
    <row r="4333">
      <c r="A4333" s="1">
        <v>1.0</v>
      </c>
      <c r="B4333" s="1" t="s">
        <v>4287</v>
      </c>
      <c r="C4333" t="str">
        <f>IFERROR(__xludf.DUMMYFUNCTION("GOOGLETRANSLATE(B4333, ""fr"", ""en"")"),"difficult opening It is unfortunate that this bag is also flawed because the material is correct and neutral but nice color. The problem lies in the openings closed by lightning. The pockets did not open well and it is difficult to insert things into it. "&amp;"Also the depth is relatively small, so from a small wallet and pen, this bag will contain no more.")</f>
        <v>difficult opening It is unfortunate that this bag is also flawed because the material is correct and neutral but nice color. The problem lies in the openings closed by lightning. The pockets did not open well and it is difficult to insert things into it. Also the depth is relatively small, so from a small wallet and pen, this bag will contain no more.</v>
      </c>
    </row>
    <row r="4334">
      <c r="A4334" s="1">
        <v>3.0</v>
      </c>
      <c r="B4334" s="1" t="s">
        <v>4288</v>
      </c>
      <c r="C4334" t="str">
        <f>IFERROR(__xludf.DUMMYFUNCTION("GOOGLETRANSLATE(B4334, ""fr"", ""en"")"),"nice model but large in size Unfortunately I had to return because bcp too big. Pity.")</f>
        <v>nice model but large in size Unfortunately I had to return because bcp too big. Pity.</v>
      </c>
    </row>
    <row r="4335">
      <c r="A4335" s="1">
        <v>3.0</v>
      </c>
      <c r="B4335" s="1" t="s">
        <v>4289</v>
      </c>
      <c r="C4335" t="str">
        <f>IFERROR(__xludf.DUMMYFUNCTION("GOOGLETRANSLATE(B4335, ""fr"", ""en"")"),"Kettle while steel I use this daily kettle for tea, herbal tea ... I chose it for its price, very interesting, its manufacturing material, stainless steel, its capacity, ideal qd many of us home and its look, go with my toaster, my coffee.")</f>
        <v>Kettle while steel I use this daily kettle for tea, herbal tea ... I chose it for its price, very interesting, its manufacturing material, stainless steel, its capacity, ideal qd many of us home and its look, go with my toaster, my coffee.</v>
      </c>
    </row>
    <row r="4336">
      <c r="A4336" s="1">
        <v>4.0</v>
      </c>
      <c r="B4336" s="1" t="s">
        <v>4290</v>
      </c>
      <c r="C4336" t="str">
        <f>IFERROR(__xludf.DUMMYFUNCTION("GOOGLETRANSLATE(B4336, ""fr"", ""en"")"),"She Jolie are pretty flexible. To see if it fit on the period")</f>
        <v>She Jolie are pretty flexible. To see if it fit on the period</v>
      </c>
    </row>
    <row r="4337">
      <c r="A4337" s="1">
        <v>4.0</v>
      </c>
      <c r="B4337" s="1" t="s">
        <v>4291</v>
      </c>
      <c r="C4337" t="str">
        <f>IFERROR(__xludf.DUMMYFUNCTION("GOOGLETRANSLATE(B4337, ""fr"", ""en"")"),"Very practical class for daily use")</f>
        <v>Very practical class for daily use</v>
      </c>
    </row>
    <row r="4338">
      <c r="A4338" s="1">
        <v>4.0</v>
      </c>
      <c r="B4338" s="1" t="s">
        <v>4292</v>
      </c>
      <c r="C4338" t="str">
        <f>IFERROR(__xludf.DUMMYFUNCTION("GOOGLETRANSLATE(B4338, ""fr"", ""en"")"),"Good buy Very nice, although it's true that get used the first few minutes (but I think it is for any foot massager). For sound, it does not excessively noise, so no need to increase the sound from the TV. After walking in heels all day, it's really relax"&amp;"ing. Only small problem, it hardly feels heat damage.")</f>
        <v>Good buy Very nice, although it's true that get used the first few minutes (but I think it is for any foot massager). For sound, it does not excessively noise, so no need to increase the sound from the TV. After walking in heels all day, it's really relaxing. Only small problem, it hardly feels heat damage.</v>
      </c>
    </row>
    <row r="4339">
      <c r="A4339" s="1">
        <v>4.0</v>
      </c>
      <c r="B4339" s="1" t="s">
        <v>4293</v>
      </c>
      <c r="C4339" t="str">
        <f>IFERROR(__xludf.DUMMYFUNCTION("GOOGLETRANSLATE(B4339, ""fr"", ""en"")"),"Nickel 👌 Great! Very nice, mounts as originals at apple bracelets 👍")</f>
        <v>Nickel 👌 Great! Very nice, mounts as originals at apple bracelets 👍</v>
      </c>
    </row>
    <row r="4340">
      <c r="A4340" s="1">
        <v>5.0</v>
      </c>
      <c r="B4340" s="1" t="s">
        <v>4294</v>
      </c>
      <c r="C4340" t="str">
        <f>IFERROR(__xludf.DUMMYFUNCTION("GOOGLETRANSLATE(B4340, ""fr"", ""en"")"),"Kettle Thermal Thermal kettle suited to me. I like to take the tea several times in the day and especially at night. As it is heat I did not need to heat water constantement I noticed that the water remains warm even the next day. Not confirm liters but 1"&amp;" liter of water is safe. The only downside is that when the coffee is not filled it makes noise. So no silencieuse🤔")</f>
        <v>Kettle Thermal Thermal kettle suited to me. I like to take the tea several times in the day and especially at night. As it is heat I did not need to heat water constantement I noticed that the water remains warm even the next day. Not confirm liters but 1 liter of water is safe. The only downside is that when the coffee is not filled it makes noise. So no silencieuse🤔</v>
      </c>
    </row>
    <row r="4341">
      <c r="A4341" s="1">
        <v>5.0</v>
      </c>
      <c r="B4341" s="1" t="s">
        <v>4295</v>
      </c>
      <c r="C4341" t="str">
        <f>IFERROR(__xludf.DUMMYFUNCTION("GOOGLETRANSLATE(B4341, ""fr"", ""en"")"),"Perfect Perfect product, arrived on time and very good quality, perfect size.")</f>
        <v>Perfect Perfect product, arrived on time and very good quality, perfect size.</v>
      </c>
    </row>
    <row r="4342">
      <c r="A4342" s="1">
        <v>5.0</v>
      </c>
      <c r="B4342" s="1" t="s">
        <v>4296</v>
      </c>
      <c r="C4342" t="str">
        <f>IFERROR(__xludf.DUMMYFUNCTION("GOOGLETRANSLATE(B4342, ""fr"", ""en"")"),"Good buy Good Design")</f>
        <v>Good buy Good Design</v>
      </c>
    </row>
    <row r="4343">
      <c r="A4343" s="1">
        <v>5.0</v>
      </c>
      <c r="B4343" s="1" t="s">
        <v>4297</v>
      </c>
      <c r="C4343" t="str">
        <f>IFERROR(__xludf.DUMMYFUNCTION("GOOGLETRANSLATE(B4343, ""fr"", ""en"")"),"purchase price and speed loader, while nickel. and in addition it works ... on the Bose website I have had for 3 weeks and 10 times more expensive.")</f>
        <v>purchase price and speed loader, while nickel. and in addition it works ... on the Bose website I have had for 3 weeks and 10 times more expensive.</v>
      </c>
    </row>
    <row r="4344">
      <c r="A4344" s="1">
        <v>5.0</v>
      </c>
      <c r="B4344" s="1" t="s">
        <v>4298</v>
      </c>
      <c r="C4344" t="str">
        <f>IFERROR(__xludf.DUMMYFUNCTION("GOOGLETRANSLATE(B4344, ""fr"", ""en"")"),"Very good product Bought for 6 months and used daily without problems. Nice aesthetic with its blue LED but the big advantage is what is glass. So transparent allowing see is how the water is very hard compared to a conventional kettle. So once a month, a"&amp;" little white vinegar 15 minutes and it is like new.")</f>
        <v>Very good product Bought for 6 months and used daily without problems. Nice aesthetic with its blue LED but the big advantage is what is glass. So transparent allowing see is how the water is very hard compared to a conventional kettle. So once a month, a little white vinegar 15 minutes and it is like new.</v>
      </c>
    </row>
    <row r="4345">
      <c r="A4345" s="1">
        <v>5.0</v>
      </c>
      <c r="B4345" s="1" t="s">
        <v>4299</v>
      </c>
      <c r="C4345" t="str">
        <f>IFERROR(__xludf.DUMMYFUNCTION("GOOGLETRANSLATE(B4345, ""fr"", ""en"")"),"very nice watch, it flatters, the bracelet is good and nice, looks like a much more expensive branded product. treat yourself short")</f>
        <v>very nice watch, it flatters, the bracelet is good and nice, looks like a much more expensive branded product. treat yourself short</v>
      </c>
    </row>
    <row r="4346">
      <c r="A4346" s="1">
        <v>5.0</v>
      </c>
      <c r="B4346" s="1" t="s">
        <v>4300</v>
      </c>
      <c r="C4346" t="str">
        <f>IFERROR(__xludf.DUMMYFUNCTION("GOOGLETRANSLATE(B4346, ""fr"", ""en"")"),"Impeccable Impeccable !!")</f>
        <v>Impeccable Impeccable !!</v>
      </c>
    </row>
    <row r="4347">
      <c r="A4347" s="1">
        <v>5.0</v>
      </c>
      <c r="B4347" s="1" t="s">
        <v>4301</v>
      </c>
      <c r="C4347" t="str">
        <f>IFERROR(__xludf.DUMMYFUNCTION("GOOGLETRANSLATE(B4347, ""fr"", ""en"")"),"Comfortable to wear for the summer, they are top. They match my tastes. They are more comfortable.")</f>
        <v>Comfortable to wear for the summer, they are top. They match my tastes. They are more comfortable.</v>
      </c>
    </row>
    <row r="4348">
      <c r="A4348" s="1">
        <v>5.0</v>
      </c>
      <c r="B4348" s="1" t="s">
        <v>4302</v>
      </c>
      <c r="C4348" t="str">
        <f>IFERROR(__xludf.DUMMYFUNCTION("GOOGLETRANSLATE(B4348, ""fr"", ""en"")"),"This was a gift for gifts")</f>
        <v>This was a gift for gifts</v>
      </c>
    </row>
    <row r="4349">
      <c r="A4349" s="1">
        <v>5.0</v>
      </c>
      <c r="B4349" s="1" t="s">
        <v>4303</v>
      </c>
      <c r="C4349" t="str">
        <f>IFERROR(__xludf.DUMMYFUNCTION("GOOGLETRANSLATE(B4349, ""fr"", ""en"")"),"Although a little big for me (54cm head circumference). It is very simple to connect. The sound is really impressive.")</f>
        <v>Although a little big for me (54cm head circumference). It is very simple to connect. The sound is really impressive.</v>
      </c>
    </row>
    <row r="4350">
      <c r="A4350" s="1">
        <v>5.0</v>
      </c>
      <c r="B4350" s="1" t="s">
        <v>4304</v>
      </c>
      <c r="C4350" t="str">
        <f>IFERROR(__xludf.DUMMYFUNCTION("GOOGLETRANSLATE(B4350, ""fr"", ""en"")"),"Sterilizer and bottle warmer &lt;div id = ""video-block-R1WV7G9XK887SF"" class = ""a-section-spacing-small in-spacing-top mini video-block""&gt; &lt;div tabindex = ""0"" class = ""airy airy -svg vmin-unsupported airy-skin-beacon ""style ="" background-color: rgb ("&amp;"0, 0, 0); position: relative; width: 100%; height: 100%; font-size: 0px; overflow: hidden ; outline: none; ""&gt; &lt;div class ="" airy-renderer-container ""style ="" position: relative; height: 100%; width: 100%; ""&gt; &lt;video id ="" 14 ""preload ="" auto ""src "&amp;"= ""https://images-eu.ssl-images-amazon.com/images/I/A1MZX2gcvOS.mp4"" style = ""position: absolute; left: 0px; top: 0px; overflow: hidden; height: 1px; width : 1px; ""&gt; &lt;/ video&gt; &lt;/ div&gt; &lt;div id ="" airy-slate-preload ""style ="" background-color: rgb (0"&amp;", 0, 0); background-image: url (&amp; quot; https: //images-eu.ssl-images-amazon.com/images/I/818-3ey5d2S.png&amp;quot;); background-size: contain; background-position: center center; background-repeat: no-repeat; position: absolute ; top: 0px; left: 0px; visibil"&amp;"ity: visible; width: 100%; height: 100% ""&gt; &lt;/ d iv&gt; &lt;iframe scrolling = ""no"" frameborder = ""0"" src = ""about: blank"" style = ""display: none;""&gt; &lt;/ iframe&gt; &lt;div tabindex = ""- 1"" class = ""airy-controls-container ""style ="" opacity: 0; visibility:"&amp;" hidden; ""&gt; &lt;div tabindex ="" - 1 ""class ="" airy-screen-size-toggle airy-fullscreen ""&gt; &lt;/ div&gt; &lt;div tabindex ="" - 1 ""class ="" airy-container-bottom "" &gt; &lt;div tabindex = ""- 1"" class = ""airy-track-bar spacer-left"" style = ""width: 11px;""&gt; &lt;/ div"&amp;"&gt; &lt;div tabindex = ""- 1"" class = ""airy-play- toggle airy-play ""style ="" width: 12px; margin-right: 12px; ""&gt; &lt;/ div&gt; &lt;div tabindex ="" - 1 ""class ="" airy-audio-elements ""style ="" float: right; width: 34px; ""&gt; &lt;div tabindex ="" - 1 ""class ="" air"&amp;"y-audio-toggle airy-on ""&gt; &lt;/ div&gt; &lt;div tabindex ="" - 1 ""class ="" airy-audio-container ""style = ""opacity: 0; visibility: hidden; ""&gt; &lt;div tabindex ="" - 1 ""class ="" airy-audio-track-bar ""style ="" height: 80%; ""&gt; &lt;div tabindex ="" - 1 ""class ="""&amp;" airy-audio- scrubber bar ""style ="" height: 85% ""&gt; &lt;/ div&gt; &lt;div tabindex ="" - 1 ""class ="" airy-audio-scrubber ""style ="" height: 12px; bottom: 85% ""&gt; &lt;/ div&gt; &lt;/ div&gt; &lt;/ div&gt; &lt;/ div&gt; &lt;div tabindex ="" - 1 ""class ="" airy-duration-label ""style ="""&amp;" float: right; width: 26px; margin-right: 4px; text-align: center; ""&gt; 0:29 &lt;/ div&gt; &lt;div tabindex ="" - 1 ""class ="" airy-track-bar spacer-right ""style ="" float: right; width: 11px; ""&gt; &lt;/ div&gt; &lt;div tabindex ="" - 1 ""class ="" airy-track-bar-container"&amp;" ""style ="" margin-left: 35px; margin-right: 75px; ""&gt; &lt;div tabindex ="" - 1 ""class ="" airy-airy-track-bar vertical-centering-table ""&gt; &lt;div tabindex ="" - 1 ""class ="" airy-vertical-centering- table-cell ""&gt; &lt;div tabindex ="" - 1 ""class ="" airy-tra"&amp;"ck-bar elements ""&gt; &lt;div tabindex ="" - 1 ""class ="" airy-progress-bar ""style ="" width: 2.43123%; ""&gt; &lt;/ div&gt; &lt;div tabindex ="" - 1 ""class ="" airy-scrubber bar ""&gt; &lt;/ div&gt; &lt;div tabindex ="" - 1 ""class ="" airy-scrubber ""&gt; &lt;div tabindex ="" - 1 ""cl"&amp;"ass ="" airy-scrubber-icon ""&gt; &lt;/ div&gt; &lt;div tabindex ="" - 1 ""class ="" airy-adjusted-aui-tooltip ""style ="" opacity: 0; visibility: hidden; ""&gt; &lt;div tabindex ="" - 1 ""class ="" airy-adjusted-aui-tooltip-inner ""&gt; &lt;div tabindex ="" - 1 ""class ="" airy"&amp;"-current-time-label ""&gt; 0 00 &lt;/ div&gt; &lt;/ div&gt; &lt;div tabindex = ""- 1"" class = ""airy-adjusted-aui-arrow-border""&gt; &lt;div tabindex = ""- 1"" class = ""airy-adjusted-aui-arrow"" &gt; &lt;/ div&gt; &lt;/ div&gt; &lt;/ div&gt; &lt;/ div&gt; &lt;/ div&gt; &lt;/ div&gt; &lt;/ div&gt; &lt;/ div&gt; &lt;/ div&gt; &lt;/ div&gt; "&amp;"&lt;div tabindex = ""- 1"" class = ""airy-airy-age-gate course airy-vertical-centering table-airy-dialog"" style = ""opacity: 0; visibility: hidden; ""&gt; &lt;div tabindex ="" - 1 ""class ="" airy-age-gate-vertical-centering-table-cell airy-vertical-centering-tab"&amp;"le-cell ""&gt; &lt;div tabindex ="" - 1 ""class = ""airy-vertical-centering-wrapper airy-age-gate-elements-wrapper""&gt; &lt;div tabindex = ""- 1"" class = ""airy-age-gate-elements airy-dialog-elements""&gt; &lt;div tabindex = "" -1 ""class ="" airy-age-gate-prompt ""&gt; Thi"&amp;"s video is not Intended for all audiences What time were you born &lt;/ div&gt; &lt;div tabindex =.?"" - 1 ""class ="" airy-age-gate -inputs airy-dialog-inner-elements ""&gt; &lt;select tabindex ="" - 1 ""class ="" airy-age-gate-month ""&gt; &lt;option value ="" 1 ""&gt; January"&amp;" &lt;/ option&gt; &lt;option value ="" 2 ""&gt; February &lt;/ option&gt; &lt;option value ="" 3 ""&gt; March &lt;/ option&gt; &lt;option value ="" 4 ""&gt; April &lt;/ option&gt; &lt;option value ="" 5 ""&gt; May &lt;/ option&gt; &lt;option value = ""6""&gt; June &lt;/ option&gt; &lt;option value = ""7""&gt; July &lt;/ option&gt; "&amp;"&lt;option value = ""8""&gt; August &lt;/ option&gt; &lt;option value = ""9""&gt; September &lt;/ option&gt; &lt;option value = ""10""&gt; October &lt;/ option&gt; &lt;option value = ""11""&gt; November &lt;/ option&gt; &lt;option value = ""12""&gt; December &lt;/ option&gt; &lt;/ select&gt; &lt;select tabindex = ""- 1"" c"&amp;"lass = ""airy-age-gate-day""&gt; &lt;opti = One value ""1""&gt; 1 &lt;/ option&gt; &lt;option value = ""2""&gt; 2 &lt;/ option&gt; &lt;option value = ""3""&gt; 3 &lt;/ option&gt; &lt;option value = ""4""&gt; 4 &lt;/ option &gt; &lt;option value = ""5""&gt; 5 &lt;/ option&gt; &lt;option value = ""6""&gt; 6 &lt;/ option&gt; &lt;optio"&amp;"n value = ""7""&gt; 7 &lt;/ option&gt; &lt;option value = ""8""&gt; 8 &lt; / option&gt; &lt;option value = ""9""&gt; 9 &lt;/ option&gt; &lt;option value = ""10""&gt; 10 &lt;/ option&gt; &lt;option value = ""11""&gt; 11 &lt;/ option&gt; &lt;option value = ""12""&gt; 12 &lt;/ option&gt; &lt;option value = ""13""&gt; 13 &lt;/ option&gt; "&amp;"&lt;option value = ""14""&gt; 14 &lt;/ option&gt; &lt;option value = ""15""&gt; 15 &lt;/ option&gt; &lt;option value = ""16 ""&gt; 16 &lt;/ option&gt; &lt;option value ="" 17 ""&gt; 17 &lt;/ option&gt; &lt;option value ="" 18 ""&gt; 18 &lt;/ option&gt; &lt;option value ="" 19 ""&gt; 19 &lt;/ option&gt; &lt;option value = ""20""&gt;"&amp;" 20 &lt;/ option&gt; &lt;option value = ""21""&gt; 21 &lt;/ option&gt; &lt;option value = ""22""&gt; 22 &lt;/ option&gt; &lt;option value = ""23""&gt; 23 &lt;/ option&gt; &lt;option value = ""24""&gt; 24 &lt;/ option&gt; &lt;option value = ""25""&gt; 25 &lt;/ option&gt; &lt;option value = ""26""&gt; 26 &lt;/ option&gt; &lt;option valu"&amp;"e = ""27""&gt; 27 &lt;/ option&gt; &lt;option value = ""28""&gt; 28 &lt;/ option&gt; &lt;option value = ""29""&gt; 29 &lt;/ option&gt; &lt;option value = ""30""&gt; 30 &lt;/ option&gt; &lt;option value = ""31""&gt; 31 &lt;/ option&gt; &lt;/ select&gt; &lt;select tabindex = ""- 1"" class = ""airy-age-gate-year""&gt; &lt;option"&amp;" value = ""2019""&gt; 2019 &lt;/ option&gt; &lt; option value = ""2018""&gt; 2018 &lt;/ option&gt; &lt;option value = ""2017""&gt; 2017 &lt;/ option&gt; &lt;option value = ""2016""&gt; ​​2016 &lt;/ option&gt; &lt;option value = ""2015""&gt; 2015 &lt;/ option &gt; &lt;option value = ""2014""&gt; 2014 &lt;/ option&gt; &lt;optio"&amp;"n value = ""2013""&gt; 2013 &lt;/ option&gt; &lt;option value = ""2012""&gt; 2012 &lt;/ option&gt; &lt;option value = ""2011""&gt; 2011 &lt; / option&gt; &lt;option value = ""2010""&gt; 2010 &lt;/ option&gt; &lt;option value = ""2009""&gt; 2009 &lt;/ option&gt; &lt;option value = ""2008""&gt; 2008 &lt;/ option&gt; &lt;option "&amp;"value = ""2007""&gt; 2007 &lt;/ option&gt; &lt;option value = ""2006""&gt; 2006 &lt;/ option&gt; &lt;option value = ""2005""&gt; 2005 &lt;/ option&gt; &lt;option value = ""2004""&gt; 2004 &lt;/ option&gt; &lt;option value = ""2003 ""&gt; 2003 &lt;/ option&gt; &lt;option value ="" 2002 ""&gt; 2002 &lt;/ option&gt; &lt;option v"&amp;"alue ="" 2001 ""&gt; 2001 &lt;/ option&gt; &lt;option value ="" 2000 ""&gt; 2000 &lt;/ option&gt; &lt;option value = ""1999""&gt; 1999 &lt;/ option&gt; &lt;option value = ""1998""&gt; 1998 &lt;/ option&gt; &lt;option value = ""1997""&gt; 1997 &lt;/ option&gt; &lt;option value = ""1996""&gt; 1996 &lt;/ option&gt; &lt;option va"&amp;"lue = ""1995""&gt; 1995 &lt;/ option&gt; &lt;option value = ""1994""&gt; 1994 &lt;/ option&gt; &lt;option value = ""1993""&gt; 1993 &lt;/ option&gt; &lt;option value = ""1992""&gt; 1992 &lt;/ option&gt; &lt;option value = ""1991""&gt; 1991 &lt;/ option&gt; &lt;option value = ""1990""&gt; 1990 &lt;/ option&gt; &lt;option value"&amp;" = "" 1989 ""&gt; 1989 &lt;/ option&gt; &lt;option value ="" 1988 ""&gt; 1988 &lt;/ option&gt; &lt;option value ="" 1987 ""&gt; 1987 &lt;/ option&gt; &lt;option value ="" 1986 ""&gt; 1986 &lt;/ option&gt; &lt;option value = ""1985""&gt; 1985 &lt;/ option&gt; &lt;option value = ""1984""&gt; 1984 &lt;/ option&gt; &lt;option val"&amp;"ue = ""1983""&gt; 1983 &lt;/ option&gt; &lt;option value = ""1982""&gt; 1982 &lt;/ option&gt; &lt; option value = ""1981""&gt; 1981 &lt;/ option&gt; &lt;option value = ""1980""&gt; 1980 &lt;/ option&gt; &lt;option value = ""1979""&gt; 1979 &lt;/ option&gt; &lt;option value = ""1978""&gt; 1978 &lt;/ option &gt; &lt;option valu"&amp;"e = ""1977""&gt; 1977 &lt;/ option&gt; &lt;option value = ""1976""&gt; 1976 &lt;/ option&gt; &lt;option value = ""1975""&gt; 1975 &lt;/ option&gt; &lt;option value = ""1974""&gt; 1974 &lt; / option&gt; &lt;option value = ""1973""&gt; 1973 &lt;/ option&gt; &lt;option value = ""1972""&gt; 1972 &lt;/ option&gt; &lt;option value "&amp;"= ""1971""&gt; 1971 &lt;/ option&gt; &lt;option value = ""1970""&gt; 1970 &lt;/ option&gt; &lt;option value = ""1969""&gt; 1969 &lt;/ option&gt; &lt;option value = ""1968""&gt; 1968 &lt;/ option&gt; &lt;option value = ""1967""&gt; 1967 &lt;/ option&gt; &lt;option value = ""1966 ""&gt; 1966 &lt;/ option&gt; &lt;option value ="&amp;""" 1965 ""&gt; 1965 &lt;/ option&gt; &lt;option value ="" 1964 ""&gt; 1964 &lt;/ option&gt; &lt;option value ="" 1963 ""&gt; 1963 &lt;/ option&gt; &lt;option value = ""1962""&gt; 1962 &lt;/ option&gt; &lt;option value = ""1961""&gt; 1961 &lt;/ option&gt; &lt;option value = ""1960""&gt; 1960 &lt;/ op tion&gt; &lt;option value "&amp;"= ""1959""&gt; 1959 &lt;/ option&gt; &lt;option value = ""1958""&gt; 1958 &lt;/ option&gt; &lt;option value = ""1957""&gt; 1957 &lt;/ option&gt; &lt;option value = ""1956""&gt; 1956 &lt;/ option&gt; &lt;option value = ""1955""&gt; 1955 &lt;/ option&gt; &lt;option value = ""1954""&gt; 1954 &lt;/ option&gt; &lt;option value = "&amp;"""1953""&gt; 1953 &lt;/ option&gt; &lt;option value = ""1952"" &gt; 1952 &lt;/ option&gt; &lt;option value = ""1951""&gt; 1951 &lt;/ option&gt; &lt;option value = ""1950""&gt; 1950 &lt;/ option&gt; &lt;option value = ""1949""&gt; 1949 &lt;/ option&gt; &lt;option value = "" 1948 ""&gt; 1948 &lt;/ option&gt; &lt;option value ="&amp;""" 1947 ""&gt; 1947 &lt;/ option&gt; &lt;option value ="" 1946 ""&gt; 1946 &lt;/ option&gt; &lt;option value ="" 1945 ""&gt; 1945 &lt;/ option&gt; &lt;option value = ""1944""&gt; 1944 &lt;/ option&gt; &lt;option value = ""1943""&gt; 1943 &lt;/ option&gt; &lt;option value = ""1942""&gt; 1942 &lt;/ option&gt; &lt;option value ="&amp;" ""1941""&gt; 1941 &lt;/ option&gt; &lt; option value = ""1940""&gt; 1940 &lt;/ option&gt; &lt;option value = ""1939""&gt; 1939 &lt;/ option&gt; &lt;option value = ""1938""&gt; 1938 &lt;/ option&gt; &lt;option value = ""1937""&gt; 1937 &lt;/ option &gt; &lt;option value = ""1936""&gt; 1936 &lt;/ option&gt; &lt;option value = "&amp;"""1935""&gt; 1935 &lt;/ option&gt; &lt;option value = ""1934""&gt; 1934 &lt;/ option&gt; &lt;option value = ""1933""&gt; 1933 &lt; / option&gt; &lt;option value = ""1932""&gt; 1932 &lt;/ option&gt; &lt;option value = ""1931""&gt; 1931 &lt;/ option&gt; &lt;option v alue = ""1930""&gt; 1930 &lt;/ option&gt; &lt;option value = "&amp;"""1929""&gt; 1929 &lt;/ option&gt; &lt;option value = ""1928""&gt; 1928 &lt;/ option&gt; &lt;option value = ""1927""&gt; 1927 &lt;/ option&gt; &lt;option value = ""1926""&gt; 1926 &lt;/ option&gt; &lt;option value = ""1925""&gt; 1925 &lt;/ option&gt; &lt;option value = ""1924""&gt; 1924 &lt;/ option&gt; &lt;option value = ""1"&amp;"923""&gt; 1923 &lt;/ option&gt; &lt;option value = ""1922""&gt; 1922 &lt;/ option&gt; &lt;option value = ""1921""&gt; 1921 &lt;/ option&gt; &lt;option value = ""1920""&gt; 1920 &lt;/ option&gt; &lt;option value = ""1919""&gt; 1919 &lt;/ option&gt; &lt;option value = ""1918""&gt; 1918 &lt;/ option&gt; &lt;option value = ""1917"&amp;"""&gt; 1917 &lt;/ option&gt; &lt;option value = ""1916""&gt; 1916 &lt;/ option&gt; &lt;option value = ""1915"" &gt; 1915 &lt;/ option&gt; &lt;option value = ""1914""&gt; 1914 &lt;/ option&gt; &lt;option value = ""1913""&gt; 1913 &lt;/ option&gt; &lt;option value = ""1912""&gt; 1912 &lt;/ option&gt; &lt;option value = "" 1911 "&amp;"""&gt; 1911 &lt;/ option&gt; &lt;option value ="" 1910 ""&gt; 1910 &lt;/ option&gt; &lt;option value ="" 1909 ""&gt; 1909 &lt;/ option&gt; &lt;option value ="" 1908 ""&gt; 1908 &lt;/ option&gt; &lt;option value = ""1907""&gt; 1907 &lt;/ option&gt; &lt;option value = ""1906""&gt; 1906 &lt;/ option&gt; &lt;option value = ""1905"&amp;"""&gt; 1905 &lt;/ option&gt; &lt;option value = ""1904""&gt; 1904 &lt;/ option&gt; &lt; option value = ""1903""&gt; 1903 &lt;/ option&gt; &lt;option value = ""1902""&gt; 1902 &lt;/ option&gt; &lt;option value = ""1901""&gt; 19 01 &lt;/ option&gt; &lt;option value = ""1900""&gt; 1900 &lt;/ option&gt; &lt;/ select&gt; &lt;div tabinde"&amp;"x = ""- 1"" class = ""airy-age-gate-submit airy-submit-button airy airy-submit- disabled ""&gt; Submit &lt;/ div&gt; &lt;/ div&gt; &lt;/ div&gt; &lt;/ div&gt; &lt;/ div&gt; &lt;/ div&gt; &lt;div tabindex ="" - 1 ""class ="" airy-install-flash-dialog airy-course airy -Vertical-centering-table dial"&amp;"og airy-airy-denied ""style ="" opacity: 0; visibility: hidden; ""&gt; &lt;div tabindex ="" - 1 ""class ="" airy-install-flash-vertical-centering-table-cell airy-vertical-centering-table-cell ""&gt; &lt;div tabindex ="" - 1 ""class = ""airy-vertical-centering-wrapper"&amp;" airy-install-flash-elements-wrapper""&gt; &lt;div tabindex = ""- 1"" class = ""airy-install-flash-elements airy-dialog-elements""&gt; &lt;div tabindex = "" -1 ""class ="" airy-install-flash-prompt ""&gt; Adobe Flash Player is required to watch this video &lt;/ div&gt; &lt;div ="&amp;" tabindex."" - 1 ""class ="" airy-install-flash-button-wrapper airy -dialog-inner-elements ""&gt; &lt;div tabindex ="" - 1 ""class ="" airy-install-flash-button airy-button ""&gt; install Flash Player &lt;/ div&gt; &lt;/ div&gt; &lt;/ div&gt; &lt;/ div&gt; &lt;/ div&gt; &lt;/ div&gt; &lt;div tabindex ="&amp;" ""- 1"" class = ""airy-video-unsupported-dialog airy-course airy-vertical-centering table-airy-dialog airy-denied"" style = ""opacity: 0; visibility: hidden; ""&gt; &lt;div tabindex ="" - 1 ""class ="" airy-video-unsupported-vertical-centering-table-cell airy-"&amp;"vertical-centering-table-cell ""&gt; &lt;div tabindex ="" - 1 ""class = ""airy-vertical-centering-wrapper airy-video-unsupported-elements-wrapper""&gt; &lt;div tabindex = ""- 1"" class = ""airy-video-unsupported-elements airy-dialog-elements""&gt; &lt;div tabindex = "" -1 "&amp;"""class ="" airy-video-unsupported-prompt ""&gt; &lt;/ div&gt; &lt;/ div&gt; &lt;/ div&gt; &lt;/ div&gt; &lt;/ div&gt; &lt;div tabindex ="" - 1 ""class ="" airy-loading- spinner-stage airy-stage ""&gt; &lt;div tabindex ="" - 1 ""class ="" airy-loading-spinner-vertical-centering-table-cell airy-ve"&amp;"rtical-centering-table-cell ""&gt; &lt;div tabindex ="" - 1 ""class ="" airy-loading-spinner container airy-scalable-hint-container ""&gt; &lt;div tabindex ="" - 1 ""class ="" airy-loading-spinner-dummy airy-scalable-dummy ""&gt; &lt;/ div&gt; &lt; div tabindex = ""- 1"" class ="&amp;" ""airy-loading-spinner airy-hint"" style = ""visibility: hidden;""&gt; &lt;/ div&gt; &lt;/ div&gt; &lt;/ div&gt; &lt;/ div&gt; &lt;div tabindex = ""- 1 ""class ="" airy-ads-screen-size-toggle airy-screen-size-toggle airy-fullscreen ""style ="" visibility: hidden; ""&gt; &lt;/ div&gt; &lt;div tab"&amp;"index = ""-1"" class = ""airy-ad-prompt-container"" style = ""visibility: hidden;""&gt; &lt;div tabindex = ""- 1"" class = ""airy-ad-prompt-vertical-centering table-airy-vertical- centering-table ""&gt; &lt;div tabindex ="" - 1 ""class ="" airy-ad-prompt-vertical-cen"&amp;"tering-table-cell airy-vertical-centering-table-cell ""&gt; &lt;div tabindex ="" - 1 ""class = ""airy-ad-prompt-label""&gt; &lt;/ div&gt; &lt;/ div&gt; &lt;/ div&gt; &lt;/ div&gt; &lt;div tabindex = ""- 1"" class = ""airy-ads-controls-container"" style = ""visibility: hidden; ""&gt; &lt;div tabin"&amp;"dex ="" - 1 ""class ="" airy-ads-audio-toggle airy-audio-toggle airy-on ""style ="" visibility: hidden; ""&gt; &lt;/ div&gt; &lt;div tabindex ="" - 1 ""class ="" airy-time-remaining-label-container ""&gt; &lt;div tabindex ="" - 1 ""class ="" airy-time-remaining-vertical-ce"&amp;"ntering table-airy-vertical-centering-table ""&gt; &lt;div tabindex = ""- 1"" class = ""airy-time-remaining-vertical-centering-table-cell airy-vertical-centering-table-cell""&gt; &lt;div tabindex = ""- 1"" class = ""airy-vertical-centering-wrapper airy-time-remaining"&amp;"-label-wrapper ""&gt; &lt;div tabindex ="" - 1 ""class ="" airy-time-remaining-label ""style ="" visibility: hidden; ""&gt; &lt;/ div&gt; &lt;div tabi ndex = ""- 1"" class = ""airy-ad-skip"" style = ""visibility: hidden;""&gt; &lt;/ div&gt; &lt;div tabindex = ""- 1"" class = ""airy-ad"&amp;"-end"" style = ""visibility: hidden; ""&gt; &lt;/ div&gt; &lt;/ div&gt; &lt;/ div&gt; &lt;/ div&gt; &lt;/ div&gt; &lt;div tabindex ="" - 1 ""class ="" airy-learn-more ""style ="" visibility: hidden; ""&gt; &lt;/ div&gt; &lt;/ div&gt; &lt;div tabindex = ""- 1"" class = ""airy-play-toggle-hint-stage airy-cours"&amp;"e airy-cursor""&gt; &lt;div tabindex = ""- 1"" class = ""airy-play -toggle-hint-vertical-centering-table-cell airy-vertical-centering-table-cell airy-cursor ""&gt; &lt;div tabindex ="" - 1 ""class ="" airy-play-toggle-hint-container airy-scalable- hint-container ""&gt; "&amp;"&lt;div tabindex ="" - 1 ""class ="" airy-play-toggle-hint-dummy airy-scalable-dummy ""&gt; &lt;/ div&gt; &lt;div tabindex ="" - 1 ""class ="" airy-play -toggle airy-hint-hint-hint airy-play ""style ="" opacity: 1; visibility: visible; ""&gt; &lt;/ div&gt; &lt;/ div&gt; &lt;/ div&gt; &lt;/ div"&amp;"&gt; &lt;div tabindex ="" - 1 ""class ="" airy-replay-hint-stage airy-stage ""style ="" visibility: hidden ; ""&gt; &lt;div tabindex ="" - 1 ""class ="" airy-replay-hint-vertical-centering-table-cell airy-vertical-centering-table-cell airy-cursor ""&gt; &lt;div tabindex ="&amp;""" - 1 ""class = ""airy-replay-hint-container airy-scalable-hint-container""&gt; &lt;div tabindex = ""- 1"" class = ""airy-replay-hint-dummy airy-scalable-dummy""&gt; &lt;/ div&gt; &lt;div tabindex = ""- 1"" class = ""airy-replay-hint airy-hint""&gt; &lt;/ div&gt; &lt;/ div&gt; &lt;/ div&gt; &lt;"&amp;"/ div&gt; &lt;div tabindex = ""- 1"" class = ""airy-autoplay-hint -stage airy-stage ""style ="" visibility: hidden; ""&gt; &lt;div tabindex ="" - 1 ""class ="" airy-autoplay-hint-vertical-centering-table-cell airy-vertical-centering-table-cell airy- cursor ""&gt; &lt;div t"&amp;"abindex ="" - 1 ""class ="" autoplay airy-airy-hint-container-scalable-hint-container ""&gt; &lt;div tabindex ="" - 1 ""class ="" airy-autoplay-hint-dummy airy- scalable-dummy ""&gt; &lt;/ div&gt; &lt;/ div&gt; &lt;/ div&gt; &lt;/ div&gt; &lt;/ div&gt; &lt;/ div&gt; &lt;input type ="" hidden ""name ="""&amp;" ""value ="" https: // pictures-eu .ssl-image amazon.com / images / I / A1MZX2gcvOS.mp4 ""Class ="" video-url ""&gt; &lt;input type ="" hidden ""name ="" ""value ="" https://images-eu.ssl-images-amazon.com/images/I/818-3ey5d2S.png ""class = ""video-slate-img-ur"&amp;"l""&gt; &amp; nbsp; This device is intended to heat the bottle and sterilize baby bottles and pacifiers. There function milk heated to normal temperature and refrigerated milk. For sterilizing baby bottles and pacifiers you have compartment for this purpose. You"&amp;" function sterilization and drying. Once the function is completed, the unit this standby mode. You have to master goblet metering the amount of water necessary for the use of sterilization and heating. We must empty the unit after each use and must not m"&amp;"aster the chemicals for cleaning. You could use white vinegar or citric acid for removing limestone. Good product and very practical.")</f>
        <v>Sterilizer and bottle warmer &lt;div id = "video-block-R1WV7G9XK887SF" class = "a-section-spacing-small in-spacing-top mini video-block"&gt; &lt;div tabindex = "0" class = "airy airy -svg vmin-unsupported airy-skin-beacon "style =" background-color: rgb (0, 0, 0); position: relative; width: 100%; height: 100%; font-size: 0px; overflow: hidden ; outline: none; "&gt; &lt;div class =" airy-renderer-container "style =" position: relative; height: 100%; width: 100%; "&gt; &lt;video id =" 14 "preload =" auto "src = "https://images-eu.ssl-images-amazon.com/images/I/A1MZX2gcvOS.mp4" style = "position: absolute; left: 0px; top: 0px; overflow: hidden; height: 1px; width : 1px; "&gt; &lt;/ video&gt; &lt;/ div&gt; &lt;div id =" airy-slate-preload "style =" background-color: rgb (0, 0, 0); background-image: url (&amp; quot; https: //images-eu.ssl-images-amazon.com/images/I/818-3ey5d2S.png&amp;quot;); background-size: contain; background-position: center center; background-repeat: no-repeat; position: absolute ; top: 0px; left: 0px; visibility: visible; width: 100%; height: 100% "&gt; &lt;/ d iv&gt; &lt;iframe scrolling = "no" frameborder = "0" src = "about: blank" style = "display: none;"&gt; &lt;/ iframe&gt; &lt;div tabindex = "- 1" class = "airy-controls-container "style =" opacity: 0; visibility: hidden; "&gt; &lt;div tabindex =" - 1 "class =" airy-screen-size-toggle airy-fullscreen "&gt; &lt;/ div&gt; &lt;div tabindex =" - 1 "class =" airy-container-bottom " &gt; &lt;div tabindex = "- 1" class = "airy-track-bar spacer-left" style = "width: 11px;"&gt; &lt;/ div&gt; &lt;div tabindex = "- 1" class = "airy-play- toggle airy-play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 bar "style =" height: 85% "&gt; &lt;/ div&gt; &lt;div tabindex =" - 1 "class =" airy-audio-scrubber "style =" height: 12px; bottom: 85% "&gt; &lt;/ div&gt; &lt;/ div&gt; &lt;/ div&gt; &lt;/ div&gt; &lt;div tabindex =" - 1 "class =" airy-duration-label "style =" float: right; width: 26px; margin-right: 4px; text-align: center; "&gt; 0:29 &lt;/ div&gt; &lt;div tabindex =" - 1 "class =" airy-track-bar spacer-right "style =" float: right; width: 11px; "&gt; &lt;/ div&gt; &lt;div tabindex =" - 1 "class =" airy-track-bar-container "style =" margin-left: 35px; margin-right: 75px; "&gt; &lt;div tabindex =" - 1 "class =" airy-airy-track-bar vertical-centering-table "&gt; &lt;div tabindex =" - 1 "class =" airy-vertical-centering- table-cell "&gt; &lt;div tabindex =" - 1 "class =" airy-track-bar elements "&gt; &lt;div tabindex =" - 1 "class =" airy-progress-bar "style =" width: 2.43123%; "&gt; &lt;/ div&gt; &lt;div tabindex =" - 1 "class =" airy-scrubber bar "&gt; &lt;/ div&gt; &lt;div tabindex =" - 1 "class =" airy-scrubber "&gt; &lt;div tabindex =" - 1 "class =" airy-scrubber-icon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"airy-airy-age-gate course airy-vertical-centering table-airy-dialog"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time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 One value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&lt;option value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&lt;option value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&lt;option value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airy-course airy -Vertical-centering-table dialog airy-airy-denied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 tabindex." - 1 "class =" airy-install-flash-button-wrapper airy -dialog-inner-elements "&gt; &lt;div tabindex =" - 1 "class =" airy-install-flash-button airy-button "&gt; install Flash Player &lt;/ div&gt; &lt;/ div&gt; &lt;/ div&gt; &lt;/ div&gt; &lt;/ div&gt; &lt;/ div&gt; &lt;div tabindex = "- 1" class = "airy-video-unsupported-dialog airy-course airy-vertical-centering table-airy-dialog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 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 airy-fullscreen "style =" visibility: hidden; "&gt; &lt;/ div&gt; &lt;div tabindex = "-1" class = "airy-ad-prompt-container" style = "visibility: hidden;"&gt; &lt;div tabindex = "- 1" class = "airy-ad-prompt-vertical-centering table-airy-vertical-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 table-airy-vertical-centering-table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airy-course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 airy-hint-hint-hint airy-play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pictures-eu .ssl-image amazon.com / images / I / A1MZX2gcvOS.mp4 "Class =" video-url "&gt; &lt;input type =" hidden "name =" "value =" https://images-eu.ssl-images-amazon.com/images/I/818-3ey5d2S.png "class = "video-slate-img-url"&gt; &amp; nbsp; This device is intended to heat the bottle and sterilize baby bottles and pacifiers. There function milk heated to normal temperature and refrigerated milk. For sterilizing baby bottles and pacifiers you have compartment for this purpose. You function sterilization and drying. Once the function is completed, the unit this standby mode. You have to master goblet metering the amount of water necessary for the use of sterilization and heating. We must empty the unit after each use and must not master the chemicals for cleaning. You could use white vinegar or citric acid for removing limestone. Good product and very practical.</v>
      </c>
    </row>
    <row r="4351">
      <c r="A4351" s="1">
        <v>5.0</v>
      </c>
      <c r="B4351" s="1" t="s">
        <v>4305</v>
      </c>
      <c r="C4351" t="str">
        <f>IFERROR(__xludf.DUMMYFUNCTION("GOOGLETRANSLATE(B4351, ""fr"", ""en"")"),"DELIGHTED! When you have a child in kindergarten or primary school and they ask of tissue boxes is perfect! I bought this lot the past year, both for the school and for the house and I'm thrilled. They are perfect, thick, very good quality (just like pape"&amp;"r towel and toilet paper of the same brand) I highly recommend against all other brands!")</f>
        <v>DELIGHTED! When you have a child in kindergarten or primary school and they ask of tissue boxes is perfect! I bought this lot the past year, both for the school and for the house and I'm thrilled. They are perfect, thick, very good quality (just like paper towel and toilet paper of the same brand) I highly recommend against all other brands!</v>
      </c>
    </row>
    <row r="4352">
      <c r="A4352" s="1">
        <v>5.0</v>
      </c>
      <c r="B4352" s="1" t="s">
        <v>4306</v>
      </c>
      <c r="C4352" t="str">
        <f>IFERROR(__xludf.DUMMYFUNCTION("GOOGLETRANSLATE(B4352, ""fr"", ""en"")"),"Jacket Comfortable jacket too great! Quite warm and very comfortable! I recommend")</f>
        <v>Jacket Comfortable jacket too great! Quite warm and very comfortable! I recommend</v>
      </c>
    </row>
    <row r="4353">
      <c r="A4353" s="1">
        <v>5.0</v>
      </c>
      <c r="B4353" s="1" t="s">
        <v>4307</v>
      </c>
      <c r="C4353" t="str">
        <f>IFERROR(__xludf.DUMMYFUNCTION("GOOGLETRANSLATE(B4353, ""fr"", ""en"")"),"Great ! Nice sneakers. The felt is excellent. perfect fit. And good quality. Good sports !!! Faster delivery as announced. Fully satisfied with this purchase. I recommend.")</f>
        <v>Great ! Nice sneakers. The felt is excellent. perfect fit. And good quality. Good sports !!! Faster delivery as announced. Fully satisfied with this purchase. I recommend.</v>
      </c>
    </row>
    <row r="4354">
      <c r="A4354" s="1">
        <v>5.0</v>
      </c>
      <c r="B4354" s="1" t="s">
        <v>4308</v>
      </c>
      <c r="C4354" t="str">
        <f>IFERROR(__xludf.DUMMYFUNCTION("GOOGLETRANSLATE(B4354, ""fr"", ""en"")"),"Always the same impeccable boils super sneakers ... True, they carve a little hair (toe a little tight and blister in the evening) but not enough to make the size bigger. Great looks, great color. The TBS opiate, it is a standard. I hope they will not hav"&amp;"e the same problem as my two previous pairs, the outer sole was cracked from one end to the other after a year.")</f>
        <v>Always the same impeccable boils super sneakers ... True, they carve a little hair (toe a little tight and blister in the evening) but not enough to make the size bigger. Great looks, great color. The TBS opiate, it is a standard. I hope they will not have the same problem as my two previous pairs, the outer sole was cracked from one end to the other after a year.</v>
      </c>
    </row>
    <row r="4355">
      <c r="A4355" s="1">
        <v>2.0</v>
      </c>
      <c r="B4355" s="1" t="s">
        <v>4309</v>
      </c>
      <c r="C4355" t="str">
        <f>IFERROR(__xludf.DUMMYFUNCTION("GOOGLETRANSLATE(B4355, ""fr"", ""en"")"),"Joggers for use outside of winter, not hot at all. The cut is bonne.Le fabric is very light. I will use it in the spring. For washing for finesse, I am skeptical about holding ??")</f>
        <v>Joggers for use outside of winter, not hot at all. The cut is bonne.Le fabric is very light. I will use it in the spring. For washing for finesse, I am skeptical about holding ??</v>
      </c>
    </row>
    <row r="4356">
      <c r="A4356" s="1">
        <v>1.0</v>
      </c>
      <c r="B4356" s="1" t="s">
        <v>4310</v>
      </c>
      <c r="C4356" t="str">
        <f>IFERROR(__xludf.DUMMYFUNCTION("GOOGLETRANSLATE(B4356, ""fr"", ""en"")"),"Feels nothing even by doubling the doses. Usually I put 5 drops and it works very well, with the same product with 10 drops the smell is low. I do not advise this.")</f>
        <v>Feels nothing even by doubling the doses. Usually I put 5 drops and it works very well, with the same product with 10 drops the smell is low. I do not advise this.</v>
      </c>
    </row>
    <row r="4357">
      <c r="A4357" s="1">
        <v>1.0</v>
      </c>
      <c r="B4357" s="1" t="s">
        <v>4311</v>
      </c>
      <c r="C4357" t="str">
        <f>IFERROR(__xludf.DUMMYFUNCTION("GOOGLETRANSLATE(B4357, ""fr"", ""en"")"),"Cleaning sole iron inefficient. I followed the instructions, completely ineffective !!!!")</f>
        <v>Cleaning sole iron inefficient. I followed the instructions, completely ineffective !!!!</v>
      </c>
    </row>
    <row r="4358">
      <c r="A4358" s="1">
        <v>3.0</v>
      </c>
      <c r="B4358" s="1" t="s">
        <v>4312</v>
      </c>
      <c r="C4358" t="str">
        <f>IFERROR(__xludf.DUMMYFUNCTION("GOOGLETRANSLATE(B4358, ""fr"", ""en"")"),"large size and the indoor sport I will not return those shoes but I will buy soles. if you are like me buy a size 37 from 36 because even with socks, there is a good size too. To the outside I find a little ""light"" without maintenance. They are flexible"&amp;" and perfect for indoor sports,")</f>
        <v>large size and the indoor sport I will not return those shoes but I will buy soles. if you are like me buy a size 37 from 36 because even with socks, there is a good size too. To the outside I find a little "light" without maintenance. They are flexible and perfect for indoor sports,</v>
      </c>
    </row>
    <row r="4359">
      <c r="A4359" s="1">
        <v>3.0</v>
      </c>
      <c r="B4359" s="1" t="s">
        <v>4313</v>
      </c>
      <c r="C4359" t="str">
        <f>IFERROR(__xludf.DUMMYFUNCTION("GOOGLETRANSLATE(B4359, ""fr"", ""en"")"),"Fair Good as the price")</f>
        <v>Fair Good as the price</v>
      </c>
    </row>
    <row r="4360">
      <c r="A4360" s="1">
        <v>4.0</v>
      </c>
      <c r="B4360" s="1" t="s">
        <v>4314</v>
      </c>
      <c r="C4360" t="str">
        <f>IFERROR(__xludf.DUMMYFUNCTION("GOOGLETRANSLATE(B4360, ""fr"", ""en"")"),"pleasantly surprised that helmet really surprised me already manufacturing quality level, it is pretty well finished everything has its place there is no play between the workpiece and the plastic seems rather solid. but the part that I was bluffing, the "&amp;"are, it is certe premium helmet of a + € 200, but prices are nothing to complain about, are appropriate in the majority of people. And finally in terms of comfort okay headset is super light he holds in place on the head. short I recommend this helmet.")</f>
        <v>pleasantly surprised that helmet really surprised me already manufacturing quality level, it is pretty well finished everything has its place there is no play between the workpiece and the plastic seems rather solid. but the part that I was bluffing, the are, it is certe premium helmet of a + € 200, but prices are nothing to complain about, are appropriate in the majority of people. And finally in terms of comfort okay headset is super light he holds in place on the head. short I recommend this helmet.</v>
      </c>
    </row>
    <row r="4361">
      <c r="A4361" s="1">
        <v>4.0</v>
      </c>
      <c r="B4361" s="1" t="s">
        <v>4315</v>
      </c>
      <c r="C4361" t="str">
        <f>IFERROR(__xludf.DUMMYFUNCTION("GOOGLETRANSLATE(B4361, ""fr"", ""en"")"),"Top Very comfortable nothing to say, some lint after the first wash if RAS.")</f>
        <v>Top Very comfortable nothing to say, some lint after the first wash if RAS.</v>
      </c>
    </row>
    <row r="4362">
      <c r="A4362" s="1">
        <v>4.0</v>
      </c>
      <c r="B4362" s="1" t="s">
        <v>4316</v>
      </c>
      <c r="C4362" t="str">
        <f>IFERROR(__xludf.DUMMYFUNCTION("GOOGLETRANSLATE(B4362, ""fr"", ""en"")"),"Good quality / price Nice for the streetware")</f>
        <v>Good quality / price Nice for the streetware</v>
      </c>
    </row>
    <row r="4363">
      <c r="A4363" s="1">
        <v>4.0</v>
      </c>
      <c r="B4363" s="1" t="s">
        <v>4317</v>
      </c>
      <c r="C4363" t="str">
        <f>IFERROR(__xludf.DUMMYFUNCTION("GOOGLETRANSLATE(B4363, ""fr"", ""en"")"),"Kettle Responds expectations")</f>
        <v>Kettle Responds expectations</v>
      </c>
    </row>
    <row r="4364">
      <c r="A4364" s="1">
        <v>5.0</v>
      </c>
      <c r="B4364" s="1" t="s">
        <v>4318</v>
      </c>
      <c r="C4364" t="str">
        <f>IFERROR(__xludf.DUMMYFUNCTION("GOOGLETRANSLATE(B4364, ""fr"", ""en"")"),"Watch magnificent Bel shows both elegant and sporty, even if it is light enough.")</f>
        <v>Watch magnificent Bel shows both elegant and sporty, even if it is light enough.</v>
      </c>
    </row>
    <row r="4365">
      <c r="A4365" s="1">
        <v>5.0</v>
      </c>
      <c r="B4365" s="1" t="s">
        <v>4319</v>
      </c>
      <c r="C4365" t="str">
        <f>IFERROR(__xludf.DUMMYFUNCTION("GOOGLETRANSLATE(B4365, ""fr"", ""en"")"),"The best of all! This stain remover for white cloth is outstanding and is the only one who managed to take me a wine dry stain on a white shirt using the procedure for stain resistant. Congratulations!")</f>
        <v>The best of all! This stain remover for white cloth is outstanding and is the only one who managed to take me a wine dry stain on a white shirt using the procedure for stain resistant. Congratulations!</v>
      </c>
    </row>
    <row r="4366">
      <c r="A4366" s="1">
        <v>5.0</v>
      </c>
      <c r="B4366" s="1" t="s">
        <v>4320</v>
      </c>
      <c r="C4366" t="str">
        <f>IFERROR(__xludf.DUMMYFUNCTION("GOOGLETRANSLATE(B4366, ""fr"", ""en"")"),"Perfect Very nice, good cut, perfect")</f>
        <v>Perfect Very nice, good cut, perfect</v>
      </c>
    </row>
    <row r="4367">
      <c r="A4367" s="1">
        <v>5.0</v>
      </c>
      <c r="B4367" s="1" t="s">
        <v>4321</v>
      </c>
      <c r="C4367" t="str">
        <f>IFERROR(__xludf.DUMMYFUNCTION("GOOGLETRANSLATE(B4367, ""fr"", ""en"")"),"Good product compliant with the description. Very comfortable.")</f>
        <v>Good product compliant with the description. Very comfortable.</v>
      </c>
    </row>
    <row r="4368">
      <c r="A4368" s="1">
        <v>5.0</v>
      </c>
      <c r="B4368" s="1" t="s">
        <v>4322</v>
      </c>
      <c r="C4368" t="str">
        <f>IFERROR(__xludf.DUMMYFUNCTION("GOOGLETRANSLATE(B4368, ""fr"", ""en"")"),"Core18 adidas Pants fine, soft, warm")</f>
        <v>Core18 adidas Pants fine, soft, warm</v>
      </c>
    </row>
    <row r="4369">
      <c r="A4369" s="1">
        <v>5.0</v>
      </c>
      <c r="B4369" s="1" t="s">
        <v>4323</v>
      </c>
      <c r="C4369" t="str">
        <f>IFERROR(__xludf.DUMMYFUNCTION("GOOGLETRANSLATE(B4369, ""fr"", ""en"")"),"Very beautiful necklace my mother Birthday")</f>
        <v>Very beautiful necklace my mother Birthday</v>
      </c>
    </row>
    <row r="4370">
      <c r="A4370" s="1">
        <v>5.0</v>
      </c>
      <c r="B4370" s="1" t="s">
        <v>4324</v>
      </c>
      <c r="C4370" t="str">
        <f>IFERROR(__xludf.DUMMYFUNCTION("GOOGLETRANSLATE(B4370, ""fr"", ""en"")"),"Vive puma I am very happy with my purchase I like this brand is that they have never disappointed because quality is top side")</f>
        <v>Vive puma I am very happy with my purchase I like this brand is that they have never disappointed because quality is top side</v>
      </c>
    </row>
    <row r="4371">
      <c r="A4371" s="1">
        <v>5.0</v>
      </c>
      <c r="B4371" s="1" t="s">
        <v>4325</v>
      </c>
      <c r="C4371" t="str">
        <f>IFERROR(__xludf.DUMMYFUNCTION("GOOGLETRANSLATE(B4371, ""fr"", ""en"")"),"Stock cheaply with 500 envelopes, I have 3 years of tranquility! standard quality envelope")</f>
        <v>Stock cheaply with 500 envelopes, I have 3 years of tranquility! standard quality envelope</v>
      </c>
    </row>
    <row r="4372">
      <c r="A4372" s="1">
        <v>5.0</v>
      </c>
      <c r="B4372" s="1" t="s">
        <v>4326</v>
      </c>
      <c r="C4372" t="str">
        <f>IFERROR(__xludf.DUMMYFUNCTION("GOOGLETRANSLATE(B4372, ""fr"", ""en"")"),"Top notch! It draws milk to save my breastfeeding already 2 months! Does its job well, small, convenient to carry anywhere! I highly recommend this draws milk !!!")</f>
        <v>Top notch! It draws milk to save my breastfeeding already 2 months! Does its job well, small, convenient to carry anywhere! I highly recommend this draws milk !!!</v>
      </c>
    </row>
    <row r="4373">
      <c r="A4373" s="1">
        <v>5.0</v>
      </c>
      <c r="B4373" s="1" t="s">
        <v>4327</v>
      </c>
      <c r="C4373" t="str">
        <f>IFERROR(__xludf.DUMMYFUNCTION("GOOGLETRANSLATE(B4373, ""fr"", ""en"")"),"Very nice work. Very good quality . Very nice finish.")</f>
        <v>Very nice work. Very good quality . Very nice finish.</v>
      </c>
    </row>
    <row r="4374">
      <c r="A4374" s="1">
        <v>5.0</v>
      </c>
      <c r="B4374" s="1" t="s">
        <v>4328</v>
      </c>
      <c r="C4374" t="str">
        <f>IFERROR(__xludf.DUMMYFUNCTION("GOOGLETRANSLATE(B4374, ""fr"", ""en"")"),"Perfect Product received quickly and without surprises, great.")</f>
        <v>Perfect Product received quickly and without surprises, great.</v>
      </c>
    </row>
    <row r="4375">
      <c r="A4375" s="1">
        <v>5.0</v>
      </c>
      <c r="B4375" s="1" t="s">
        <v>4329</v>
      </c>
      <c r="C4375" t="str">
        <f>IFERROR(__xludf.DUMMYFUNCTION("GOOGLETRANSLATE(B4375, ""fr"", ""en"")"),"Again, excellent product and service I had already, for a month, the similar model (1AER) with black dial. I must say I find it (blue background) extremely pretty: This fund is blue classy as discreet and greyish (the picture is a bit misleading). It is a"&amp;" remarkable product that I wear with an outfit leisure, knowing that Black Dial will be better for my taste, with attire. Thank you, Amazon, for the respect of the announced delivery times, even in this time of transport strike.")</f>
        <v>Again, excellent product and service I had already, for a month, the similar model (1AER) with black dial. I must say I find it (blue background) extremely pretty: This fund is blue classy as discreet and greyish (the picture is a bit misleading). It is a remarkable product that I wear with an outfit leisure, knowing that Black Dial will be better for my taste, with attire. Thank you, Amazon, for the respect of the announced delivery times, even in this time of transport strike.</v>
      </c>
    </row>
    <row r="4376">
      <c r="A4376" s="1">
        <v>5.0</v>
      </c>
      <c r="B4376" s="1" t="s">
        <v>4330</v>
      </c>
      <c r="C4376" t="str">
        <f>IFERROR(__xludf.DUMMYFUNCTION("GOOGLETRANSLATE(B4376, ""fr"", ""en"")"),"Beautiful discreet and efficient This wand is very stylish. It is very effective with these different modes of vibration that my wife was able to appreciate greatly. In his small pouch is unrecognizable and makes little noise which avoids awaken those sle"&amp;"eping in the annexes rooms. We recommend it.")</f>
        <v>Beautiful discreet and efficient This wand is very stylish. It is very effective with these different modes of vibration that my wife was able to appreciate greatly. In his small pouch is unrecognizable and makes little noise which avoids awaken those sleeping in the annexes rooms. We recommend it.</v>
      </c>
    </row>
    <row r="4377">
      <c r="A4377" s="1">
        <v>5.0</v>
      </c>
      <c r="B4377" s="1" t="s">
        <v>4331</v>
      </c>
      <c r="C4377" t="str">
        <f>IFERROR(__xludf.DUMMYFUNCTION("GOOGLETRANSLATE(B4377, ""fr"", ""en"")"),"Beautiful watch The watch that I received is good. She is quite friendly and like many on the arm ... After setting the size. The watch comes with a tutorial to change the size but still a little complicated.")</f>
        <v>Beautiful watch The watch that I received is good. She is quite friendly and like many on the arm ... After setting the size. The watch comes with a tutorial to change the size but still a little complicated.</v>
      </c>
    </row>
    <row r="4378">
      <c r="A4378" s="1">
        <v>5.0</v>
      </c>
      <c r="B4378" s="1" t="s">
        <v>4332</v>
      </c>
      <c r="C4378" t="str">
        <f>IFERROR(__xludf.DUMMYFUNCTION("GOOGLETRANSLATE(B4378, ""fr"", ""en"")"),"Compliant and very pretty! Order received on time, hot water bottles are very pretty. Plastic looks solid. They are easy to fill and well keep warm! Very good product, I recommend!")</f>
        <v>Compliant and very pretty! Order received on time, hot water bottles are very pretty. Plastic looks solid. They are easy to fill and well keep warm! Very good product, I recommend!</v>
      </c>
    </row>
    <row r="4379">
      <c r="A4379" s="1">
        <v>5.0</v>
      </c>
      <c r="B4379" s="1" t="s">
        <v>4333</v>
      </c>
      <c r="C4379" t="str">
        <f>IFERROR(__xludf.DUMMYFUNCTION("GOOGLETRANSLATE(B4379, ""fr"", ""en"")"),"FAN I bought it and no regrets - I am completely satisfied with this purchase - finally a bra suitable and 100% trust in the brand")</f>
        <v>FAN I bought it and no regrets - I am completely satisfied with this purchase - finally a bra suitable and 100% trust in the brand</v>
      </c>
    </row>
    <row r="4380">
      <c r="A4380" s="1">
        <v>2.0</v>
      </c>
      <c r="B4380" s="1" t="s">
        <v>4334</v>
      </c>
      <c r="C4380" t="str">
        <f>IFERROR(__xludf.DUMMYFUNCTION("GOOGLETRANSLATE(B4380, ""fr"", ""en"")"),"Converse Shoes too big, not recommended for 37, they instead size 38 !!!! Damage after the wait to be able to mettres !!!!")</f>
        <v>Converse Shoes too big, not recommended for 37, they instead size 38 !!!! Damage after the wait to be able to mettres !!!!</v>
      </c>
    </row>
    <row r="4381">
      <c r="A4381" s="1">
        <v>1.0</v>
      </c>
      <c r="B4381" s="1" t="s">
        <v>4335</v>
      </c>
      <c r="C4381" t="str">
        <f>IFERROR(__xludf.DUMMYFUNCTION("GOOGLETRANSLATE(B4381, ""fr"", ""en"")"),"Too small very small size I can a disgusted because the product is good")</f>
        <v>Too small very small size I can a disgusted because the product is good</v>
      </c>
    </row>
    <row r="4382">
      <c r="A4382" s="1">
        <v>1.0</v>
      </c>
      <c r="B4382" s="1" t="s">
        <v>4336</v>
      </c>
      <c r="C4382" t="str">
        <f>IFERROR(__xludf.DUMMYFUNCTION("GOOGLETRANSLATE(B4382, ""fr"", ""en"")"),"Referred faulty clasp Clasp")</f>
        <v>Referred faulty clasp Clasp</v>
      </c>
    </row>
    <row r="4383">
      <c r="A4383" s="1">
        <v>3.0</v>
      </c>
      <c r="B4383" s="1" t="s">
        <v>4337</v>
      </c>
      <c r="C4383" t="str">
        <f>IFERROR(__xludf.DUMMYFUNCTION("GOOGLETRANSLATE(B4383, ""fr"", ""en"")"),"Not bad Nice, but my daughter did not hang more than that on this book ..")</f>
        <v>Not bad Nice, but my daughter did not hang more than that on this book ..</v>
      </c>
    </row>
    <row r="4384">
      <c r="A4384" s="1">
        <v>4.0</v>
      </c>
      <c r="B4384" s="1" t="s">
        <v>4338</v>
      </c>
      <c r="C4384" t="str">
        <f>IFERROR(__xludf.DUMMYFUNCTION("GOOGLETRANSLATE(B4384, ""fr"", ""en"")"),"Beautiful, strong, but feels hard Photo conforms to the bag, it is still darker. It seems solid and of good quality, I return my things to go to college (sorter, kit, computer 13 '), there are many compartments inside, a few stand out seams are poorly fin"&amp;"ished. However, it has a very strong smell of sheep, even after letting out a whole weekend, basting several times Febreeze, the smell is still present (but less intense). For that price, we still have a good quality bag.")</f>
        <v>Beautiful, strong, but feels hard Photo conforms to the bag, it is still darker. It seems solid and of good quality, I return my things to go to college (sorter, kit, computer 13 '), there are many compartments inside, a few stand out seams are poorly finished. However, it has a very strong smell of sheep, even after letting out a whole weekend, basting several times Febreeze, the smell is still present (but less intense). For that price, we still have a good quality bag.</v>
      </c>
    </row>
    <row r="4385">
      <c r="A4385" s="1">
        <v>4.0</v>
      </c>
      <c r="B4385" s="1" t="s">
        <v>4339</v>
      </c>
      <c r="C4385" t="str">
        <f>IFERROR(__xludf.DUMMYFUNCTION("GOOGLETRANSLATE(B4385, ""fr"", ""en"")"),"Impec! I wear it every day, it suits me perfectly, small pockets are practical, I use EDC work wonderful.")</f>
        <v>Impec! I wear it every day, it suits me perfectly, small pockets are practical, I use EDC work wonderful.</v>
      </c>
    </row>
    <row r="4386">
      <c r="A4386" s="1">
        <v>4.0</v>
      </c>
      <c r="B4386" s="1" t="s">
        <v>4340</v>
      </c>
      <c r="C4386" t="str">
        <f>IFERROR(__xludf.DUMMYFUNCTION("GOOGLETRANSLATE(B4386, ""fr"", ""en"")"),"Casio Excellent value. I highly recommend this watch. Very nice design.")</f>
        <v>Casio Excellent value. I highly recommend this watch. Very nice design.</v>
      </c>
    </row>
    <row r="4387">
      <c r="A4387" s="1">
        <v>4.0</v>
      </c>
      <c r="B4387" s="1" t="s">
        <v>4341</v>
      </c>
      <c r="C4387" t="str">
        <f>IFERROR(__xludf.DUMMYFUNCTION("GOOGLETRANSLATE(B4387, ""fr"", ""en"")"),"Recalibration of the analog dial After a year I struggled a bit to recalibrate the hands of the analog dial, but eventually following the instruction manual, all is well.")</f>
        <v>Recalibration of the analog dial After a year I struggled a bit to recalibrate the hands of the analog dial, but eventually following the instruction manual, all is well.</v>
      </c>
    </row>
    <row r="4388">
      <c r="A4388" s="1">
        <v>4.0</v>
      </c>
      <c r="B4388" s="1" t="s">
        <v>4342</v>
      </c>
      <c r="C4388" t="str">
        <f>IFERROR(__xludf.DUMMYFUNCTION("GOOGLETRANSLATE(B4388, ""fr"", ""en"")"),"Although Good pair")</f>
        <v>Although Good pair</v>
      </c>
    </row>
    <row r="4389">
      <c r="A4389" s="1">
        <v>5.0</v>
      </c>
      <c r="B4389" s="1" t="s">
        <v>4343</v>
      </c>
      <c r="C4389" t="str">
        <f>IFERROR(__xludf.DUMMYFUNCTION("GOOGLETRANSLATE(B4389, ""fr"", ""en"")"),"Pretty pink and blue wristband bracelet very nice and pleasant to wear. The colors and reflections are like the picture so no surprise. Pretty lightweight bracelet to wear. The clasp is quality and practical with its double small chain.")</f>
        <v>Pretty pink and blue wristband bracelet very nice and pleasant to wear. The colors and reflections are like the picture so no surprise. Pretty lightweight bracelet to wear. The clasp is quality and practical with its double small chain.</v>
      </c>
    </row>
    <row r="4390">
      <c r="A4390" s="1">
        <v>5.0</v>
      </c>
      <c r="B4390" s="1" t="s">
        <v>4344</v>
      </c>
      <c r="C4390" t="str">
        <f>IFERROR(__xludf.DUMMYFUNCTION("GOOGLETRANSLATE(B4390, ""fr"", ""en"")"),"In the top ! Kettle perfect for us who love each temperature is respected for each tea or herbal tea! Nothing wrong conform to its description!")</f>
        <v>In the top ! Kettle perfect for us who love each temperature is respected for each tea or herbal tea! Nothing wrong conform to its description!</v>
      </c>
    </row>
    <row r="4391">
      <c r="A4391" s="1">
        <v>5.0</v>
      </c>
      <c r="B4391" s="1" t="s">
        <v>4345</v>
      </c>
      <c r="C4391" t="str">
        <f>IFERROR(__xludf.DUMMYFUNCTION("GOOGLETRANSLATE(B4391, ""fr"", ""en"")"),"BIG BIG ROLL WIDTH SUPER PRACTICE FOR MOVING VERY PRACTICAL FOR ITS SIZE AND QUALITY PRICE RAPPOERT")</f>
        <v>BIG BIG ROLL WIDTH SUPER PRACTICE FOR MOVING VERY PRACTICAL FOR ITS SIZE AND QUALITY PRICE RAPPOERT</v>
      </c>
    </row>
    <row r="4392">
      <c r="A4392" s="1">
        <v>5.0</v>
      </c>
      <c r="B4392" s="1" t="s">
        <v>4346</v>
      </c>
      <c r="C4392" t="str">
        <f>IFERROR(__xludf.DUMMYFUNCTION("GOOGLETRANSLATE(B4392, ""fr"", ""en"")"),"I can only bow my head! I had the first TrueWireless headphones from Sony, which were already very good despite worries connection between the two atria. Here we touch perfection, an impressive noise reduction and similar to last Sony headphones that ever"&amp;"yone speaks. I tested it in an Austin Mini 86 makes as much noise as a lawnmower, see accelerating, and although I feel calm in my living room, impressive! Sound quality aside as usual it is breathtaking, even balance between all frequencies, no sharp dom"&amp;"inance as one can have in bose. Everything is in its place as the artist intended! Level one is finishing on the premium, clearly, they are beautiful, the details looked after better than Bang &amp; amp; Olufsen for which parts leather age badly. If you hesit"&amp;"ate between several models, the price displayed for these Sony headphones you do not have to think about is them the best.")</f>
        <v>I can only bow my head! I had the first TrueWireless headphones from Sony, which were already very good despite worries connection between the two atria. Here we touch perfection, an impressive noise reduction and similar to last Sony headphones that everyone speaks. I tested it in an Austin Mini 86 makes as much noise as a lawnmower, see accelerating, and although I feel calm in my living room, impressive! Sound quality aside as usual it is breathtaking, even balance between all frequencies, no sharp dominance as one can have in bose. Everything is in its place as the artist intended! Level one is finishing on the premium, clearly, they are beautiful, the details looked after better than Bang &amp; amp; Olufsen for which parts leather age badly. If you hesitate between several models, the price displayed for these Sony headphones you do not have to think about is them the best.</v>
      </c>
    </row>
    <row r="4393">
      <c r="A4393" s="1">
        <v>5.0</v>
      </c>
      <c r="B4393" s="1" t="s">
        <v>4347</v>
      </c>
      <c r="C4393" t="str">
        <f>IFERROR(__xludf.DUMMYFUNCTION("GOOGLETRANSLATE(B4393, ""fr"", ""en"")"),"Very strong I recommend vivement.Je used very often with a blue yeti fixed with a antipop and it does not move a boom poil.La is still rotating and accessible.Vous can unfold and fold several times c is still firm.")</f>
        <v>Very strong I recommend vivement.Je used very often with a blue yeti fixed with a antipop and it does not move a boom poil.La is still rotating and accessible.Vous can unfold and fold several times c is still firm.</v>
      </c>
    </row>
    <row r="4394">
      <c r="A4394" s="1">
        <v>5.0</v>
      </c>
      <c r="B4394" s="1" t="s">
        <v>4348</v>
      </c>
      <c r="C4394" t="str">
        <f>IFERROR(__xludf.DUMMYFUNCTION("GOOGLETRANSLATE(B4394, ""fr"", ""en"")"),"Good shoes for almost everything. Quality is currently very well and I have no major problem.")</f>
        <v>Good shoes for almost everything. Quality is currently very well and I have no major problem.</v>
      </c>
    </row>
    <row r="4395">
      <c r="A4395" s="1">
        <v>5.0</v>
      </c>
      <c r="B4395" s="1" t="s">
        <v>4349</v>
      </c>
      <c r="C4395" t="str">
        <f>IFERROR(__xludf.DUMMYFUNCTION("GOOGLETRANSLATE(B4395, ""fr"", ""en"")"),"ease of use excellent product, easy menus, good sound, ample volume. outstanding quality. To recommend.")</f>
        <v>ease of use excellent product, easy menus, good sound, ample volume. outstanding quality. To recommend.</v>
      </c>
    </row>
    <row r="4396">
      <c r="A4396" s="1">
        <v>5.0</v>
      </c>
      <c r="B4396" s="1" t="s">
        <v>4350</v>
      </c>
      <c r="C4396" t="str">
        <f>IFERROR(__xludf.DUMMYFUNCTION("GOOGLETRANSLATE(B4396, ""fr"", ""en"")"),"Skirt Bohemian easy to wear pretty full skirt very wearable summer. The liner prevents it from being transparent. The pattern is stylish. We can put it with a shirt or blouse.")</f>
        <v>Skirt Bohemian easy to wear pretty full skirt very wearable summer. The liner prevents it from being transparent. The pattern is stylish. We can put it with a shirt or blouse.</v>
      </c>
    </row>
    <row r="4397">
      <c r="A4397" s="1">
        <v>5.0</v>
      </c>
      <c r="B4397" s="1" t="s">
        <v>4351</v>
      </c>
      <c r="C4397" t="str">
        <f>IFERROR(__xludf.DUMMYFUNCTION("GOOGLETRANSLATE(B4397, ""fr"", ""en"")"),"Convenient It makes my life easier, printing office and hop, the mail is ready to go")</f>
        <v>Convenient It makes my life easier, printing office and hop, the mail is ready to go</v>
      </c>
    </row>
    <row r="4398">
      <c r="A4398" s="1">
        <v>5.0</v>
      </c>
      <c r="B4398" s="1" t="s">
        <v>4352</v>
      </c>
      <c r="C4398" t="str">
        <f>IFERROR(__xludf.DUMMYFUNCTION("GOOGLETRANSLATE(B4398, ""fr"", ""en"")"),"Simple to use and I love good smell of burning paper Armenia home use is simple and I find the pleasant smell I'm not a fan of incense so it's perfect")</f>
        <v>Simple to use and I love good smell of burning paper Armenia home use is simple and I find the pleasant smell I'm not a fan of incense so it's perfect</v>
      </c>
    </row>
    <row r="4399">
      <c r="A4399" s="1">
        <v>5.0</v>
      </c>
      <c r="B4399" s="1" t="s">
        <v>4353</v>
      </c>
      <c r="C4399" t="str">
        <f>IFERROR(__xludf.DUMMYFUNCTION("GOOGLETRANSLATE(B4399, ""fr"", ""en"")"),"Regular purchase My wife is true to this article and regularly renewed by changing color or not. She uses this kind of footwear.")</f>
        <v>Regular purchase My wife is true to this article and regularly renewed by changing color or not. She uses this kind of footwear.</v>
      </c>
    </row>
    <row r="4400">
      <c r="A4400" s="1">
        <v>5.0</v>
      </c>
      <c r="B4400" s="1" t="s">
        <v>4354</v>
      </c>
      <c r="C4400" t="str">
        <f>IFERROR(__xludf.DUMMYFUNCTION("GOOGLETRANSLATE(B4400, ""fr"", ""en"")"),"beautiful ornament section consistent with the description. nice quality. I recommend")</f>
        <v>beautiful ornament section consistent with the description. nice quality. I recommend</v>
      </c>
    </row>
    <row r="4401">
      <c r="A4401" s="1">
        <v>5.0</v>
      </c>
      <c r="B4401" s="1" t="s">
        <v>4355</v>
      </c>
      <c r="C4401" t="str">
        <f>IFERROR(__xludf.DUMMYFUNCTION("GOOGLETRANSLATE(B4401, ""fr"", ""en"")"),"Very good anarchist emblem badge, easy to makes fine on my work pants.")</f>
        <v>Very good anarchist emblem badge, easy to makes fine on my work pants.</v>
      </c>
    </row>
    <row r="4402">
      <c r="A4402" s="1">
        <v>5.0</v>
      </c>
      <c r="B4402" s="1" t="s">
        <v>4356</v>
      </c>
      <c r="C4402" t="str">
        <f>IFERROR(__xludf.DUMMYFUNCTION("GOOGLETRANSLATE(B4402, ""fr"", ""en"")"),"Foot Foot RODE PSA1 bought to go with my microphone RODE NT-USB 1 year with this pole and works perfectly, no squealing, no jamming, like new. Would highly recommend if you want to access your microphone regardless of your location on your desktop.")</f>
        <v>Foot Foot RODE PSA1 bought to go with my microphone RODE NT-USB 1 year with this pole and works perfectly, no squealing, no jamming, like new. Would highly recommend if you want to access your microphone regardless of your location on your desktop.</v>
      </c>
    </row>
    <row r="4403">
      <c r="A4403" s="1">
        <v>5.0</v>
      </c>
      <c r="B4403" s="1" t="s">
        <v>4357</v>
      </c>
      <c r="C4403" t="str">
        <f>IFERROR(__xludf.DUMMYFUNCTION("GOOGLETRANSLATE(B4403, ""fr"", ""en"")"),"Vive UGG! perfect shoe in the cold and snow, very comfortable even with small orthopedic insoles, proper packaging, timely delivery")</f>
        <v>Vive UGG! perfect shoe in the cold and snow, very comfortable even with small orthopedic insoles, proper packaging, timely delivery</v>
      </c>
    </row>
    <row r="4404">
      <c r="A4404" s="1">
        <v>2.0</v>
      </c>
      <c r="B4404" s="1" t="s">
        <v>4358</v>
      </c>
      <c r="C4404" t="str">
        <f>IFERROR(__xludf.DUMMYFUNCTION("GOOGLETRANSLATE(B4404, ""fr"", ""en"")"),"cheap poor Pants Pants: the fabric is of poor quality (thin fabric), the pockets are drilled, some of the zippered pockets are useless (false pockets) and size too small. Do not buy, it's not worth the price ...")</f>
        <v>cheap poor Pants Pants: the fabric is of poor quality (thin fabric), the pockets are drilled, some of the zippered pockets are useless (false pockets) and size too small. Do not buy, it's not worth the price ...</v>
      </c>
    </row>
    <row r="4405">
      <c r="A4405" s="1">
        <v>1.0</v>
      </c>
      <c r="B4405" s="1" t="s">
        <v>4359</v>
      </c>
      <c r="C4405" t="str">
        <f>IFERROR(__xludf.DUMMYFUNCTION("GOOGLETRANSLATE(B4405, ""fr"", ""en"")"),"Allergic allergies. I do not know what is the metal but it's awful. I had to give. Note that I regularly wear costume jewelry without problems")</f>
        <v>Allergic allergies. I do not know what is the metal but it's awful. I had to give. Note that I regularly wear costume jewelry without problems</v>
      </c>
    </row>
    <row r="4406">
      <c r="A4406" s="1">
        <v>3.0</v>
      </c>
      <c r="B4406" s="1" t="s">
        <v>4360</v>
      </c>
      <c r="C4406" t="str">
        <f>IFERROR(__xludf.DUMMYFUNCTION("GOOGLETRANSLATE(B4406, ""fr"", ""en"")"),"Prices interested that say 1st right price you need for a microphone and a basic boom")</f>
        <v>Prices interested that say 1st right price you need for a microphone and a basic boom</v>
      </c>
    </row>
    <row r="4407">
      <c r="A4407" s="1">
        <v>3.0</v>
      </c>
      <c r="B4407" s="1" t="s">
        <v>4361</v>
      </c>
      <c r="C4407" t="str">
        <f>IFERROR(__xludf.DUMMYFUNCTION("GOOGLETRANSLATE(B4407, ""fr"", ""en"")"),"Nice watch at a good price. Beautiful shows not too big nor too small for a good price on amazon compared to the other site and is quite livreson satisfesant.")</f>
        <v>Nice watch at a good price. Beautiful shows not too big nor too small for a good price on amazon compared to the other site and is quite livreson satisfesant.</v>
      </c>
    </row>
    <row r="4408">
      <c r="A4408" s="1">
        <v>4.0</v>
      </c>
      <c r="B4408" s="1" t="s">
        <v>4362</v>
      </c>
      <c r="C4408" t="str">
        <f>IFERROR(__xludf.DUMMYFUNCTION("GOOGLETRANSLATE(B4408, ""fr"", ""en"")"),"It works!!! I was scared at first use because I put these cartridges and I wanted to make a copy without having turned on my computer. And it did not work. It takes the computer is on and connected to the printer for you to confirm that you want to use th"&amp;"ese cartridges and you know that are not EPSON cartridges. After this little manipulation (very easy because the printer only open a dialog screen where you simply select yes), you can use these cartridges without worries. At first sight there are no big "&amp;"differences between those above and EPSON. I recommend!")</f>
        <v>It works!!! I was scared at first use because I put these cartridges and I wanted to make a copy without having turned on my computer. And it did not work. It takes the computer is on and connected to the printer for you to confirm that you want to use these cartridges and you know that are not EPSON cartridges. After this little manipulation (very easy because the printer only open a dialog screen where you simply select yes), you can use these cartridges without worries. At first sight there are no big differences between those above and EPSON. I recommend!</v>
      </c>
    </row>
    <row r="4409">
      <c r="A4409" s="1">
        <v>4.0</v>
      </c>
      <c r="B4409" s="1" t="s">
        <v>4363</v>
      </c>
      <c r="C4409" t="str">
        <f>IFERROR(__xludf.DUMMYFUNCTION("GOOGLETRANSLATE(B4409, ""fr"", ""en"")"),"Bestseller Received after 10 days and conforms to what I expected because this is my 2nd pair and they are still as simple and light. The tip a little hard softens over time and I recommend a pair of cushioned insoles for comfort. Received taupe and clear"&amp;"er than the image for the winter it can go through dry socks and a bit thick nickel c Very good quality / price ratio, a bestseller.")</f>
        <v>Bestseller Received after 10 days and conforms to what I expected because this is my 2nd pair and they are still as simple and light. The tip a little hard softens over time and I recommend a pair of cushioned insoles for comfort. Received taupe and clearer than the image for the winter it can go through dry socks and a bit thick nickel c Very good quality / price ratio, a bestseller.</v>
      </c>
    </row>
    <row r="4410">
      <c r="A4410" s="1">
        <v>4.0</v>
      </c>
      <c r="B4410" s="1" t="s">
        <v>4364</v>
      </c>
      <c r="C4410" t="str">
        <f>IFERROR(__xludf.DUMMYFUNCTION("GOOGLETRANSLATE(B4410, ""fr"", ""en"")"),"Nickel teen and others without pocket ... The essential accessory for the teenager From college to high school and more !!!")</f>
        <v>Nickel teen and others without pocket ... The essential accessory for the teenager From college to high school and more !!!</v>
      </c>
    </row>
    <row r="4411">
      <c r="A4411" s="1">
        <v>4.0</v>
      </c>
      <c r="B4411" s="1" t="s">
        <v>4365</v>
      </c>
      <c r="C4411" t="str">
        <f>IFERROR(__xludf.DUMMYFUNCTION("GOOGLETRANSLATE(B4411, ""fr"", ""en"")"),"Good shoes Pretty Well finished product a little heavy but soon we made it well LESUR Hang wet floors, slippery Looks like hiking shoes")</f>
        <v>Good shoes Pretty Well finished product a little heavy but soon we made it well LESUR Hang wet floors, slippery Looks like hiking shoes</v>
      </c>
    </row>
    <row r="4412">
      <c r="A4412" s="1">
        <v>5.0</v>
      </c>
      <c r="B4412" s="1" t="s">
        <v>4366</v>
      </c>
      <c r="C4412" t="str">
        <f>IFERROR(__xludf.DUMMYFUNCTION("GOOGLETRANSLATE(B4412, ""fr"", ""en"")"),"teats as usual, laugh to say !!!!! Always satisfied with the brand Advent whether pacifiers or bottles certainly more expensive but profitable !!!!!")</f>
        <v>teats as usual, laugh to say !!!!! Always satisfied with the brand Advent whether pacifiers or bottles certainly more expensive but profitable !!!!!</v>
      </c>
    </row>
    <row r="4413">
      <c r="A4413" s="1">
        <v>5.0</v>
      </c>
      <c r="B4413" s="1" t="s">
        <v>4367</v>
      </c>
      <c r="C4413" t="str">
        <f>IFERROR(__xludf.DUMMYFUNCTION("GOOGLETRANSLATE(B4413, ""fr"", ""en"")"),"The best brush world And all these years with an old trick that lines bottles and never dry ... if only I had this brush earlier! I offer to all mums :-) It is also used for water bottles and cups children with her caps for nipples. It is dishwasher safe.")</f>
        <v>The best brush world And all these years with an old trick that lines bottles and never dry ... if only I had this brush earlier! I offer to all mums :-) It is also used for water bottles and cups children with her caps for nipples. It is dishwasher safe.</v>
      </c>
    </row>
    <row r="4414">
      <c r="A4414" s="1">
        <v>5.0</v>
      </c>
      <c r="B4414" s="1" t="s">
        <v>4368</v>
      </c>
      <c r="C4414" t="str">
        <f>IFERROR(__xludf.DUMMYFUNCTION("GOOGLETRANSLATE(B4414, ""fr"", ""en"")"),"Great product Beyond my expectations. This watch is great. Quality Packaging. Seiko always good products. unbeatable value for money for an automatic watch!")</f>
        <v>Great product Beyond my expectations. This watch is great. Quality Packaging. Seiko always good products. unbeatable value for money for an automatic watch!</v>
      </c>
    </row>
    <row r="4415">
      <c r="A4415" s="1">
        <v>5.0</v>
      </c>
      <c r="B4415" s="1" t="s">
        <v>4369</v>
      </c>
      <c r="C4415" t="str">
        <f>IFERROR(__xludf.DUMMYFUNCTION("GOOGLETRANSLATE(B4415, ""fr"", ""en"")"),"Bib ready in 30 seconds and end of digestive discomfort !! The pediatrician advised us to warm the bottle because baby had major reflux and was struggling to make his burping and stool. Having not yet finished the milk box, we started with this product to"&amp;" warm the bottle. we chose it because it was the fastest on the market to heat water and the right temperature, with a baby who has good lungs every second counts night. broken promise! Bonus: the ease of use and self clean. Bonus 2: the possibility to he"&amp;"at up baby food according to the amount of food bonus 3: the sterilizer which we had gone that far, but we would have anyway purchased the product. Bonus 4: even if the product is a little space on the worktop is convenient to pick up and transport the he"&amp;"ating part. If we had however issued a criticism it would be that the product is really not aesthetic, plastic is really ugly. People can purchase the bibexspresso can we think put a little more for a better product invoice.")</f>
        <v>Bib ready in 30 seconds and end of digestive discomfort !! The pediatrician advised us to warm the bottle because baby had major reflux and was struggling to make his burping and stool. Having not yet finished the milk box, we started with this product to warm the bottle. we chose it because it was the fastest on the market to heat water and the right temperature, with a baby who has good lungs every second counts night. broken promise! Bonus: the ease of use and self clean. Bonus 2: the possibility to heat up baby food according to the amount of food bonus 3: the sterilizer which we had gone that far, but we would have anyway purchased the product. Bonus 4: even if the product is a little space on the worktop is convenient to pick up and transport the heating part. If we had however issued a criticism it would be that the product is really not aesthetic, plastic is really ugly. People can purchase the bibexspresso can we think put a little more for a better product invoice.</v>
      </c>
    </row>
    <row r="4416">
      <c r="A4416" s="1">
        <v>5.0</v>
      </c>
      <c r="B4416" s="1" t="s">
        <v>4370</v>
      </c>
      <c r="C4416" t="str">
        <f>IFERROR(__xludf.DUMMYFUNCTION("GOOGLETRANSLATE(B4416, ""fr"", ""en"")"),"Excellent Very good I highly recommend This is the second time I order this lot.")</f>
        <v>Excellent Very good I highly recommend This is the second time I order this lot.</v>
      </c>
    </row>
    <row r="4417">
      <c r="A4417" s="1">
        <v>5.0</v>
      </c>
      <c r="B4417" s="1" t="s">
        <v>4371</v>
      </c>
      <c r="C4417" t="str">
        <f>IFERROR(__xludf.DUMMYFUNCTION("GOOGLETRANSLATE(B4417, ""fr"", ""en"")"),"As in slippers! When you wear these Columbia Canyon Point Waterproof feels almost like slippers, a close detail, take a size above your usual size is safer because they carve a little small. I do not trail or treck but the ride and hike in mountain and it"&amp;" gives me the kind of perfect shoe, comfortable, light and even aesthetic as they are quite feminine with nice colors. You will keep your feet dry but walking on wet surfaces. The kind of shoe you forget to remove it when you return to the car so you feel"&amp;" good inside, it's rare enough to be stressed! Considering the price, hard to beat!")</f>
        <v>As in slippers! When you wear these Columbia Canyon Point Waterproof feels almost like slippers, a close detail, take a size above your usual size is safer because they carve a little small. I do not trail or treck but the ride and hike in mountain and it gives me the kind of perfect shoe, comfortable, light and even aesthetic as they are quite feminine with nice colors. You will keep your feet dry but walking on wet surfaces. The kind of shoe you forget to remove it when you return to the car so you feel good inside, it's rare enough to be stressed! Considering the price, hard to beat!</v>
      </c>
    </row>
    <row r="4418">
      <c r="A4418" s="1">
        <v>5.0</v>
      </c>
      <c r="B4418" s="1" t="s">
        <v>787</v>
      </c>
      <c r="C4418" t="str">
        <f>IFERROR(__xludf.DUMMYFUNCTION("GOOGLETRANSLATE(B4418, ""fr"", ""en"")"),"Very good product great product")</f>
        <v>Very good product great product</v>
      </c>
    </row>
    <row r="4419">
      <c r="A4419" s="1">
        <v>5.0</v>
      </c>
      <c r="B4419" s="1" t="s">
        <v>4372</v>
      </c>
      <c r="C4419" t="str">
        <f>IFERROR(__xludf.DUMMYFUNCTION("GOOGLETRANSLATE(B4419, ""fr"", ""en"")"),"Okay very effective product for maintenance of leather shoes")</f>
        <v>Okay very effective product for maintenance of leather shoes</v>
      </c>
    </row>
    <row r="4420">
      <c r="A4420" s="1">
        <v>5.0</v>
      </c>
      <c r="B4420" s="1" t="s">
        <v>4373</v>
      </c>
      <c r="C4420" t="str">
        <f>IFERROR(__xludf.DUMMYFUNCTION("GOOGLETRANSLATE(B4420, ""fr"", ""en"")"),"French product French product of very good quality. Do not hesitate !!! I sold my business and when it is really very good.")</f>
        <v>French product French product of very good quality. Do not hesitate !!! I sold my business and when it is really very good.</v>
      </c>
    </row>
    <row r="4421">
      <c r="A4421" s="1">
        <v>5.0</v>
      </c>
      <c r="B4421" s="1" t="s">
        <v>4374</v>
      </c>
      <c r="C4421" t="str">
        <f>IFERROR(__xludf.DUMMYFUNCTION("GOOGLETRANSLATE(B4421, ""fr"", ""en"")"),"Pretty elegant bracelet, different colors of eye of tiger")</f>
        <v>Pretty elegant bracelet, different colors of eye of tiger</v>
      </c>
    </row>
    <row r="4422">
      <c r="A4422" s="1">
        <v>5.0</v>
      </c>
      <c r="B4422" s="1" t="s">
        <v>4375</v>
      </c>
      <c r="C4422" t="str">
        <f>IFERROR(__xludf.DUMMYFUNCTION("GOOGLETRANSLATE(B4422, ""fr"", ""en"")"),"Super super practical bag that allows for my bike quietly. Maybe wear dorsal and ventral level. I love his style and it is very comfortable. I recommand it.")</f>
        <v>Super super practical bag that allows for my bike quietly. Maybe wear dorsal and ventral level. I love his style and it is very comfortable. I recommand it.</v>
      </c>
    </row>
    <row r="4423">
      <c r="A4423" s="1">
        <v>5.0</v>
      </c>
      <c r="B4423" s="1" t="s">
        <v>4376</v>
      </c>
      <c r="C4423" t="str">
        <f>IFERROR(__xludf.DUMMYFUNCTION("GOOGLETRANSLATE(B4423, ""fr"", ""en"")"),"Lovely Delighted")</f>
        <v>Lovely Delighted</v>
      </c>
    </row>
    <row r="4424">
      <c r="A4424" s="1">
        <v>5.0</v>
      </c>
      <c r="B4424" s="1" t="s">
        <v>4377</v>
      </c>
      <c r="C4424" t="str">
        <f>IFERROR(__xludf.DUMMYFUNCTION("GOOGLETRANSLATE(B4424, ""fr"", ""en"")"),"Magnificent They are beautiful I recommend !!!!")</f>
        <v>Magnificent They are beautiful I recommend !!!!</v>
      </c>
    </row>
    <row r="4425">
      <c r="A4425" s="1">
        <v>5.0</v>
      </c>
      <c r="B4425" s="1" t="s">
        <v>224</v>
      </c>
      <c r="C4425" t="str">
        <f>IFERROR(__xludf.DUMMYFUNCTION("GOOGLETRANSLATE(B4425, ""fr"", ""en"")"),"perfect perfect")</f>
        <v>perfect perfect</v>
      </c>
    </row>
    <row r="4426">
      <c r="A4426" s="1">
        <v>5.0</v>
      </c>
      <c r="B4426" s="1" t="s">
        <v>4378</v>
      </c>
      <c r="C4426" t="str">
        <f>IFERROR(__xludf.DUMMYFUNCTION("GOOGLETRANSLATE(B4426, ""fr"", ""en"")"),"Super thank you")</f>
        <v>Super thank you</v>
      </c>
    </row>
    <row r="4427">
      <c r="A4427" s="1">
        <v>2.0</v>
      </c>
      <c r="B4427" s="1" t="s">
        <v>4379</v>
      </c>
      <c r="C4427" t="str">
        <f>IFERROR(__xludf.DUMMYFUNCTION("GOOGLETRANSLATE(B4427, ""fr"", ""en"")"),"NICE AND WARM nice and hot shoe against a quality review has already peeling at the foot of the fold")</f>
        <v>NICE AND WARM nice and hot shoe against a quality review has already peeling at the foot of the fold</v>
      </c>
    </row>
    <row r="4428">
      <c r="A4428" s="1">
        <v>1.0</v>
      </c>
      <c r="B4428" s="1" t="s">
        <v>4380</v>
      </c>
      <c r="C4428" t="str">
        <f>IFERROR(__xludf.DUMMYFUNCTION("GOOGLETRANSLATE(B4428, ""fr"", ""en"")"),"The lid does not close tea a month and the cover already firmer. Unable to return the item at AMAZON. I contacted Koenig service. I'm waiting for an answer...")</f>
        <v>The lid does not close tea a month and the cover already firmer. Unable to return the item at AMAZON. I contacted Koenig service. I'm waiting for an answer...</v>
      </c>
    </row>
    <row r="4429">
      <c r="A4429" s="1">
        <v>1.0</v>
      </c>
      <c r="B4429" s="1" t="s">
        <v>4381</v>
      </c>
      <c r="C4429" t="str">
        <f>IFERROR(__xludf.DUMMYFUNCTION("GOOGLETRANSLATE(B4429, ""fr"", ""en"")"),"The product I received is the same past. The fabric is different; Everything is different. terrible product. Not like the photographer. Coverage cassee a week after I received the product. The connection has ceased to work. Very disappointed!!")</f>
        <v>The product I received is the same past. The fabric is different; Everything is different. terrible product. Not like the photographer. Coverage cassee a week after I received the product. The connection has ceased to work. Very disappointed!!</v>
      </c>
    </row>
    <row r="4430">
      <c r="A4430" s="1">
        <v>3.0</v>
      </c>
      <c r="B4430" s="1" t="s">
        <v>4382</v>
      </c>
      <c r="C4430" t="str">
        <f>IFERROR(__xludf.DUMMYFUNCTION("GOOGLETRANSLATE(B4430, ""fr"", ""en"")"),"pretty pretty")</f>
        <v>pretty pretty</v>
      </c>
    </row>
    <row r="4431">
      <c r="A4431" s="1">
        <v>3.0</v>
      </c>
      <c r="B4431" s="1" t="s">
        <v>4383</v>
      </c>
      <c r="C4431" t="str">
        <f>IFERROR(__xludf.DUMMYFUNCTION("GOOGLETRANSLATE(B4431, ""fr"", ""en"")"),"Small small size. Little hard at first. I took black but are rather dark gray")</f>
        <v>Small small size. Little hard at first. I took black but are rather dark gray</v>
      </c>
    </row>
    <row r="4432">
      <c r="A4432" s="1">
        <v>4.0</v>
      </c>
      <c r="B4432" s="1" t="s">
        <v>4384</v>
      </c>
      <c r="C4432" t="str">
        <f>IFERROR(__xludf.DUMMYFUNCTION("GOOGLETRANSLATE(B4432, ""fr"", ""en"")"),"Size a little big The 41.5 was a bit large, take a half size to less than its usual size, at least in my case")</f>
        <v>Size a little big The 41.5 was a bit large, take a half size to less than its usual size, at least in my case</v>
      </c>
    </row>
    <row r="4433">
      <c r="A4433" s="1">
        <v>4.0</v>
      </c>
      <c r="B4433" s="1" t="s">
        <v>4385</v>
      </c>
      <c r="C4433" t="str">
        <f>IFERROR(__xludf.DUMMYFUNCTION("GOOGLETRANSLATE(B4433, ""fr"", ""en"")"),"ideal bag to carry the maximum and value for money ideal size for all documents, pockets on the sides sufficient quality in relation to price. Easy to take")</f>
        <v>ideal bag to carry the maximum and value for money ideal size for all documents, pockets on the sides sufficient quality in relation to price. Easy to take</v>
      </c>
    </row>
    <row r="4434">
      <c r="A4434" s="1">
        <v>4.0</v>
      </c>
      <c r="B4434" s="1" t="s">
        <v>4386</v>
      </c>
      <c r="C4434" t="str">
        <f>IFERROR(__xludf.DUMMYFUNCTION("GOOGLETRANSLATE(B4434, ""fr"", ""en"")"),"good value good quality paper")</f>
        <v>good value good quality paper</v>
      </c>
    </row>
    <row r="4435">
      <c r="A4435" s="1">
        <v>4.0</v>
      </c>
      <c r="B4435" s="1" t="s">
        <v>4387</v>
      </c>
      <c r="C4435" t="str">
        <f>IFERROR(__xludf.DUMMYFUNCTION("GOOGLETRANSLATE(B4435, ""fr"", ""en"")"),"ditto the very beautiful picture perfectly matches the picture is a very fine walk through against small problem insole makes a bend midfoot")</f>
        <v>ditto the very beautiful picture perfectly matches the picture is a very fine walk through against small problem insole makes a bend midfoot</v>
      </c>
    </row>
    <row r="4436">
      <c r="A4436" s="1">
        <v>5.0</v>
      </c>
      <c r="B4436" s="1" t="s">
        <v>4388</v>
      </c>
      <c r="C4436" t="str">
        <f>IFERROR(__xludf.DUMMYFUNCTION("GOOGLETRANSLATE(B4436, ""fr"", ""en"")"),"TOO PLEASED a great jacket! Super sweet too too nice !!!! I really love! I recommend the size is no surprise nickel")</f>
        <v>TOO PLEASED a great jacket! Super sweet too too nice !!!! I really love! I recommend the size is no surprise nickel</v>
      </c>
    </row>
    <row r="4437">
      <c r="A4437" s="1">
        <v>5.0</v>
      </c>
      <c r="B4437" s="1" t="s">
        <v>4389</v>
      </c>
      <c r="C4437" t="str">
        <f>IFERROR(__xludf.DUMMYFUNCTION("GOOGLETRANSLATE(B4437, ""fr"", ""en"")"),"Good product J bought this product to restore the shine and cover some areas on sneakers stan smith, rendering is perfect and easy to apply.")</f>
        <v>Good product J bought this product to restore the shine and cover some areas on sneakers stan smith, rendering is perfect and easy to apply.</v>
      </c>
    </row>
    <row r="4438">
      <c r="A4438" s="1">
        <v>5.0</v>
      </c>
      <c r="B4438" s="1" t="s">
        <v>4390</v>
      </c>
      <c r="C4438" t="str">
        <f>IFERROR(__xludf.DUMMYFUNCTION("GOOGLETRANSLATE(B4438, ""fr"", ""en"")"),"comfortable compliant product")</f>
        <v>comfortable compliant product</v>
      </c>
    </row>
    <row r="4439">
      <c r="A4439" s="1">
        <v>5.0</v>
      </c>
      <c r="B4439" s="1" t="s">
        <v>4391</v>
      </c>
      <c r="C4439" t="str">
        <f>IFERROR(__xludf.DUMMYFUNCTION("GOOGLETRANSLATE(B4439, ""fr"", ""en"")"),"Superb Vraied or false I do not care ... They are cannon of a perfect bright white for the season. In short I am very satisfied ... Listed on the long term.")</f>
        <v>Superb Vraied or false I do not care ... They are cannon of a perfect bright white for the season. In short I am very satisfied ... Listed on the long term.</v>
      </c>
    </row>
    <row r="4440">
      <c r="A4440" s="1">
        <v>5.0</v>
      </c>
      <c r="B4440" s="1" t="s">
        <v>4392</v>
      </c>
      <c r="C4440" t="str">
        <f>IFERROR(__xludf.DUMMYFUNCTION("GOOGLETRANSLATE(B4440, ""fr"", ""en"")"),"Good effective product and soothing Softens and relaxes muscles well, both before and after the effort. good price / quality. Smell my pleasant taste. sufficient capacity.")</f>
        <v>Good effective product and soothing Softens and relaxes muscles well, both before and after the effort. good price / quality. Smell my pleasant taste. sufficient capacity.</v>
      </c>
    </row>
    <row r="4441">
      <c r="A4441" s="1">
        <v>5.0</v>
      </c>
      <c r="B4441" s="1" t="s">
        <v>224</v>
      </c>
      <c r="C4441" t="str">
        <f>IFERROR(__xludf.DUMMYFUNCTION("GOOGLETRANSLATE(B4441, ""fr"", ""en"")"),"perfect perfect")</f>
        <v>perfect perfect</v>
      </c>
    </row>
    <row r="4442">
      <c r="A4442" s="1">
        <v>5.0</v>
      </c>
      <c r="B4442" s="1" t="s">
        <v>4393</v>
      </c>
      <c r="C4442" t="str">
        <f>IFERROR(__xludf.DUMMYFUNCTION("GOOGLETRANSLATE(B4442, ""fr"", ""en"")"),"The quality Eastpak! Everyone knows as the brand that aspect of his backpacks become essential references. Strong, lightweight, comfortable enough, thick flanges and above all, the aesthetics of this gray ""black denim"" is perfect!")</f>
        <v>The quality Eastpak! Everyone knows as the brand that aspect of his backpacks become essential references. Strong, lightweight, comfortable enough, thick flanges and above all, the aesthetics of this gray "black denim" is perfect!</v>
      </c>
    </row>
    <row r="4443">
      <c r="A4443" s="1">
        <v>5.0</v>
      </c>
      <c r="B4443" s="1" t="s">
        <v>4394</v>
      </c>
      <c r="C4443" t="str">
        <f>IFERROR(__xludf.DUMMYFUNCTION("GOOGLETRANSLATE(B4443, ""fr"", ""en"")"),"Good quality Product is a beautiful quality and finish. The person who received the gift love. Very allergic, I had some concerns and there was no reaction, so it's really perfect")</f>
        <v>Good quality Product is a beautiful quality and finish. The person who received the gift love. Very allergic, I had some concerns and there was no reaction, so it's really perfect</v>
      </c>
    </row>
    <row r="4444">
      <c r="A4444" s="1">
        <v>5.0</v>
      </c>
      <c r="B4444" s="1" t="s">
        <v>4395</v>
      </c>
      <c r="C4444" t="str">
        <f>IFERROR(__xludf.DUMMYFUNCTION("GOOGLETRANSLATE(B4444, ""fr"", ""en"")"),"Awesome ! Great product, great for evenings among friends")</f>
        <v>Awesome ! Great product, great for evenings among friends</v>
      </c>
    </row>
    <row r="4445">
      <c r="A4445" s="1">
        <v>5.0</v>
      </c>
      <c r="B4445" s="1" t="s">
        <v>4396</v>
      </c>
      <c r="C4445" t="str">
        <f>IFERROR(__xludf.DUMMYFUNCTION("GOOGLETRANSLATE(B4445, ""fr"", ""en"")"),"Top Too cute")</f>
        <v>Top Too cute</v>
      </c>
    </row>
    <row r="4446">
      <c r="A4446" s="1">
        <v>5.0</v>
      </c>
      <c r="B4446" s="1" t="s">
        <v>508</v>
      </c>
      <c r="C4446" t="str">
        <f>IFERROR(__xludf.DUMMYFUNCTION("GOOGLETRANSLATE(B4446, ""fr"", ""en"")"),"Very well very well")</f>
        <v>Very well very well</v>
      </c>
    </row>
    <row r="4447">
      <c r="A4447" s="1">
        <v>5.0</v>
      </c>
      <c r="B4447" s="1" t="s">
        <v>4397</v>
      </c>
      <c r="C4447" t="str">
        <f>IFERROR(__xludf.DUMMYFUNCTION("GOOGLETRANSLATE(B4447, ""fr"", ""en"")"),"Best quality price report. To not let hang the headphones on the desk, aesthetic, discreet and helpful. I recommend !")</f>
        <v>Best quality price report. To not let hang the headphones on the desk, aesthetic, discreet and helpful. I recommend !</v>
      </c>
    </row>
    <row r="4448">
      <c r="A4448" s="1">
        <v>5.0</v>
      </c>
      <c r="B4448" s="1" t="s">
        <v>4398</v>
      </c>
      <c r="C4448" t="str">
        <f>IFERROR(__xludf.DUMMYFUNCTION("GOOGLETRANSLATE(B4448, ""fr"", ""en"")"),"Nickel I was skeptical, I have a physical job, and I feel much better in the evening after a small meeting of 15mn")</f>
        <v>Nickel I was skeptical, I have a physical job, and I feel much better in the evening after a small meeting of 15mn</v>
      </c>
    </row>
    <row r="4449">
      <c r="A4449" s="1">
        <v>5.0</v>
      </c>
      <c r="B4449" s="1" t="s">
        <v>4399</v>
      </c>
      <c r="C4449" t="str">
        <f>IFERROR(__xludf.DUMMYFUNCTION("GOOGLETRANSLATE(B4449, ""fr"", ""en"")"),"easy Very easy to set up and very stable")</f>
        <v>easy Very easy to set up and very stable</v>
      </c>
    </row>
    <row r="4450">
      <c r="A4450" s="1">
        <v>5.0</v>
      </c>
      <c r="B4450" s="1" t="s">
        <v>4400</v>
      </c>
      <c r="C4450" t="str">
        <f>IFERROR(__xludf.DUMMYFUNCTION("GOOGLETRANSLATE(B4450, ""fr"", ""en"")"),"Lovely bracelet Meets the expected")</f>
        <v>Lovely bracelet Meets the expected</v>
      </c>
    </row>
    <row r="4451">
      <c r="A4451" s="1">
        <v>2.0</v>
      </c>
      <c r="B4451" s="1" t="s">
        <v>4401</v>
      </c>
      <c r="C4451" t="str">
        <f>IFERROR(__xludf.DUMMYFUNCTION("GOOGLETRANSLATE(B4451, ""fr"", ""en"")"),"Fragile ++++ Very nice bracelet, but very fragile clasp. I had to return it because welding broken ...")</f>
        <v>Fragile ++++ Very nice bracelet, but very fragile clasp. I had to return it because welding broken ...</v>
      </c>
    </row>
    <row r="4452">
      <c r="A4452" s="1">
        <v>1.0</v>
      </c>
      <c r="B4452" s="1" t="s">
        <v>4402</v>
      </c>
      <c r="C4452" t="str">
        <f>IFERROR(__xludf.DUMMYFUNCTION("GOOGLETRANSLATE(B4452, ""fr"", ""en"")"),"No longer works in a week no longer works after 1 week and a half of use really heavy ... Lights 1 second and then nothing. If there has been misuse, I would at least know how, but I'm more like a manufacturing defect ...")</f>
        <v>No longer works in a week no longer works after 1 week and a half of use really heavy ... Lights 1 second and then nothing. If there has been misuse, I would at least know how, but I'm more like a manufacturing defect ...</v>
      </c>
    </row>
    <row r="4453">
      <c r="A4453" s="1">
        <v>1.0</v>
      </c>
      <c r="B4453" s="1" t="s">
        <v>4403</v>
      </c>
      <c r="C4453" t="str">
        <f>IFERROR(__xludf.DUMMYFUNCTION("GOOGLETRANSLATE(B4453, ""fr"", ""en"")"),"no shell if we buy so-called safety shoe c is working for shells looks very very hurt over my amazon purchase loses the quality of these products to the very top figure")</f>
        <v>no shell if we buy so-called safety shoe c is working for shells looks very very hurt over my amazon purchase loses the quality of these products to the very top figure</v>
      </c>
    </row>
    <row r="4454">
      <c r="A4454" s="1">
        <v>3.0</v>
      </c>
      <c r="B4454" s="1" t="s">
        <v>4404</v>
      </c>
      <c r="C4454" t="str">
        <f>IFERROR(__xludf.DUMMYFUNCTION("GOOGLETRANSLATE(B4454, ""fr"", ""en"")"),"Bie Super, really pay attention to my size I'm doing 39 I took 28-42 and that's my size battery so I doubt that in 42rentre")</f>
        <v>Bie Super, really pay attention to my size I'm doing 39 I took 28-42 and that's my size battery so I doubt that in 42rentre</v>
      </c>
    </row>
    <row r="4455">
      <c r="A4455" s="1">
        <v>3.0</v>
      </c>
      <c r="B4455" s="1" t="s">
        <v>4405</v>
      </c>
      <c r="C4455" t="str">
        <f>IFERROR(__xludf.DUMMYFUNCTION("GOOGLETRANSLATE(B4455, ""fr"", ""en"")"),"2 3 perfect knew I just receive them. weird because in the lot there is one that is less of a good size so he serves and is too tight while the other 2 are properly fitted and comfortable .... somebody had this problem ??")</f>
        <v>2 3 perfect knew I just receive them. weird because in the lot there is one that is less of a good size so he serves and is too tight while the other 2 are properly fitted and comfortable .... somebody had this problem ??</v>
      </c>
    </row>
    <row r="4456">
      <c r="A4456" s="1">
        <v>4.0</v>
      </c>
      <c r="B4456" s="1" t="s">
        <v>1261</v>
      </c>
      <c r="C4456" t="str">
        <f>IFERROR(__xludf.DUMMYFUNCTION("GOOGLETRANSLATE(B4456, ""fr"", ""en"")"),"good good")</f>
        <v>good good</v>
      </c>
    </row>
    <row r="4457">
      <c r="A4457" s="1">
        <v>4.0</v>
      </c>
      <c r="B4457" s="1" t="s">
        <v>4406</v>
      </c>
      <c r="C4457" t="str">
        <f>IFERROR(__xludf.DUMMYFUNCTION("GOOGLETRANSLATE(B4457, ""fr"", ""en"")"),"Very useful in winter approaches &lt;div id = ""video-block-R2P9A8YRBE8WQ4"" class = ""a-section-spacing-small-spacing has-top video mini-block""&gt; &lt;div tabindex = ""0 ""class ="" airy airy-svg vmin-supported airy-skin-beacon ""style ="" background-color: rgb"&amp;" (0, 0, 0); position: relative; width: 100%; height: 100%; font-size : 0px; overflow: hidden; outline: none; ""&gt; &lt;div class ="" airy-renderer-container ""style ="" position: relative; height: 100%; width: 100%; ""&gt; &lt;video id ="" 7 "" preload = ""auto"" sr"&amp;"c = ""https://images-eu.ssl-images-amazon.com/images/I/A1j0ukTVb4S.mp4"" style = ""position: absolute; left: 0px; top: 0px; overflow: hidden ; height: 1px; width: 1px; ""&gt; &lt;/ video&gt; &lt;/ div&gt; &lt;div id ="" airy-slate-preload ""style ="" background-color: rgb "&amp;"(0, 0, 0); background-image: url (&amp; quot; https: //images-eu.ssl-images-amazon.com/images/I/713lMEcV6SS.png&amp;quot;); background-size: contain; background-position: center center; background-repeat: no-repeat ; position: absolute; top: 0px; left: 0px; visib"&amp;"ility: visible; width: 100%; height: 100% ""&gt; &lt;/ di v&gt; &lt;iframe scrolling = ""no"" frameborder = ""0"" src = ""about: blank"" style = ""display: none;""&gt; &lt;/ iframe&gt; &lt;div tabindex = ""- 1"" class = ""airy-controls-container ""style ="" opacity: 0; visibilit"&amp;"y: hidden; ""&gt; &lt;div tabindex ="" - 1 ""class ="" airy-screen-size-toggle airy-fullscreen ""&gt; &lt;/ div&gt; &lt;div tabindex ="" - 1 ""class ="" airy-container-bottom "" &gt; &lt;div tabindex = ""- 1"" class = ""airy-track-bar spacer-left"" style = ""width: 11px;""&gt; &lt;/ d"&amp;"iv&gt; &lt;div tabindex = ""- 1"" class = ""airy-play- toggle airy-play ""style ="" width: 12px; margin-right: 12px; ""&gt; &lt;/ div&gt; &lt;div tabindex ="" - 1 ""class ="" airy-audio-elements ""style ="" float: right; width: 34px; ""&gt; &lt;div tabindex ="" - 1 ""class ="" a"&amp;"iry-audio-toggle airy-on ""&gt; &lt;/ div&gt; &lt;div tabindex ="" - 1 ""class ="" airy-audio-container ""style = ""opacity: 0; visibility: hidden; ""&gt; &lt;div tabindex ="" - 1 ""class ="" airy-audio-track-bar ""style ="" height: 80%; ""&gt; &lt;div tabindex ="" - 1 ""class ="&amp;""" airy-audio- scrubber bar ""style ="" height: 85% ""&gt; &lt;/ div&gt; &lt;div tabindex ="" - 1 ""class ="" airy-audio-scrubber ""style ="" height: 12px; bottom: 85% ""&gt; &lt;/ div&gt; &lt;/ div&gt; &lt;/ div&gt; &lt;/ div&gt; &lt;div tabindex ="" - 1 ""class ="" airy-duration-label ""style ="&amp;""" float: right; width: 26px; margin-right: 4px; text-align: center; ""&gt; 0:00 &lt;/ div&gt; &lt;div tabindex ="" - 1 ""class ="" airy-track-bar spacer-right ""style ="" float: right; width: 11px; ""&gt; &lt;/ div&gt; &lt;div tabindex ="" - 1 ""class ="" airy-track-bar-contain"&amp;"er ""style ="" margin-left: 35px; margin-right: 75px; ""&gt; &lt;div tabindex ="" - 1 ""class ="" airy-airy-track-bar vertical-centering-table ""&gt; &lt;div tabindex ="" - 1 ""class ="" airy-vertical-centering- table-cell ""&gt; &lt;div tabindex ="" - 1 ""class ="" airy-t"&amp;"rack-bar elements ""&gt; &lt;div tabindex ="" - 1 ""class ="" airy-progress bar ""&gt; &lt;/ div&gt; &lt;div tabindex = ""- 1"" class = ""airy-scrubber bar""&gt; &lt;/ div&gt; &lt;div tabindex = ""- 1"" class = ""airy-scrubber""&gt; &lt;div tabindex = ""- 1"" class = ""airy-scrubber- icon "&amp;"""&gt; &lt;/ div&gt; &lt;div tabindex ="" - 1 ""class ="" airy-adjusted-aui-tooltip ""style ="" opacity: 0; visibility: hidden; ""&gt; &lt;div tabindex ="" - 1 ""class ="" airy-adjusted-aui-tooltip-inner ""&gt; &lt;div tabindex ="" - 1 ""class ="" airy-current-time-label ""&gt; 0 0"&amp;"0 &lt;/ div&gt; &lt;/ div&gt; &lt;div tabindex = ""- 1"" class = ""airy-adjusted-aui-arrow-border""&gt; &lt;div tabindex = ""- 1"" class = ""airy-adjusted-aui-arrow"" &gt; &lt;/ div&gt; &lt;/ div&gt; &lt;/ div&gt; &lt;/ div&gt; &lt;/ div&gt; &lt;/ div&gt; &lt;/ div&gt; &lt;/ div&gt; &lt;/ div&gt; &lt;/ div&gt; &lt;div tabindex = ""- 1"" cla"&amp;"ss = ""airy-airy-age-gate course airy-vertical-centering table-airy-dialog"" style = ""opacity: 0; visibility: hidden; ""&gt; &lt;div tabindex ="" - 1 ""class ="" airy-age-gate-vertical-centering-table-cell airy-vertical-centering-table-cell ""&gt; &lt;div tabindex ="&amp;""" - 1 ""class = ""airy-vertical-centering-wrapper airy-age-gate-elements-wrapper""&gt; &lt;div tabindex = ""- 1"" class = ""airy-age-gate-elements airy-dialog-elements""&gt; &lt;div tabindex = "" -1 ""class ="" airy-age-gate-prompt ""&gt; This video is not Intended for"&amp;" all audiences What time were you born &lt;/ div&gt; &lt;div tabindex =.?"" - 1 ""class ="" airy-age-gate -inputs airy-dialog-inner-elements ""&gt; &lt;select tabindex ="" - 1 ""class ="" airy-age-gate-month ""&gt; &lt;option value ="" 1 ""&gt; January &lt;/ option&gt; &lt;option value ="&amp;""" 2 ""&gt; February &lt;/ option&gt; &lt;option value ="" 3 ""&gt; March &lt;/ option&gt; &lt;option value ="" 4 ""&gt; April &lt;/ option&gt; &lt;option value ="" 5 ""&gt; May &lt;/ option&gt; &lt;option value = ""6""&gt; June &lt;/ option&gt; &lt;option value = ""7""&gt; July &lt;/ option&gt; &lt;option value = ""8""&gt; Augu"&amp;"st &lt;/ option&gt; &lt;option value = ""9""&gt; September &lt;/ option&gt; &lt;option value = ""10""&gt; October &lt;/ option&gt; &lt;option value = ""11""&gt; November &lt;/ option&gt; &lt;option value = ""12""&gt; December &lt;/ option&gt; &lt;/ select&gt; &lt;select tabindex = ""- 1"" class = ""airy-age-gate-day"&amp;"""&gt; &lt;opti = One value ""1""&gt; 1 &lt;/ option&gt; &lt;option value = ""2""&gt; 2 &lt;/ option&gt; &lt;option value = ""3""&gt; 3 &lt;/ option&gt; &lt;option value = ""4""&gt; 4 &lt;/ option &gt; &lt;option value = ""5""&gt; 5 &lt;/ option&gt; &lt;option value = ""6""&gt; 6 &lt;/ option&gt; &lt;option value = ""7""&gt; 7 &lt;/ opti"&amp;"on&gt; &lt;option value = ""8""&gt; 8 &lt; / option&gt; &lt;option value = ""9""&gt; 9 &lt;/ option&gt; &lt;option value = ""10""&gt; 10 &lt;/ option&gt; &lt;option value = ""11""&gt; 11 &lt;/ option&gt; &lt;option value = ""12""&gt; 12 &lt;/ option&gt; &lt;option value = ""13""&gt; 13 &lt;/ option&gt; &lt;option value = ""14""&gt; 14"&amp;" &lt;/ option&gt; &lt;option value = ""15""&gt; 15 &lt;/ option&gt; &lt;option value = ""16 ""&gt; 16 &lt;/ option&gt; &lt;option value ="" 17 ""&gt; 17 &lt;/ option&gt; &lt;option value ="" 18 ""&gt; 18 &lt;/ option&gt; &lt;option value ="" 19 ""&gt; 19 &lt;/ option&gt; &lt;option value = ""20""&gt; 20 &lt;/ option&gt; &lt;option val"&amp;"ue = ""21""&gt; 21 &lt;/ option&gt; &lt;option value = ""22""&gt; 22 &lt;/ option&gt; &lt;option value = ""23""&gt; 23 &lt;/ option&gt; &lt;option value = ""24""&gt; 24 &lt;/ option&gt; &lt;option value = ""25""&gt; 25 &lt;/ option&gt; &lt;option value = ""26""&gt; 26 &lt;/ option&gt; &lt;option value = ""27""&gt; 27 &lt;/ option&gt; "&amp;"&lt;option value = ""28""&gt; 28 &lt;/ option&gt; &lt;option value = ""29""&gt; 29 &lt;/ option&gt; &lt;option value = ""30""&gt; 30 &lt;/ option&gt; &lt;option value = ""31""&gt; 31 &lt;/ option&gt; &lt;/ select&gt; &lt;select tabindex = ""- 1"" class = ""airy-age-gate-year""&gt; &lt;option value = ""2019""&gt; 2019 &lt;/"&amp;" option&gt; &lt; option value = ""2018""&gt; 2018 &lt;/ option&gt; &lt;option value = ""2017""&gt; 2017 &lt;/ option&gt; &lt;option value = ""2016""&gt; ​​2016 &lt;/ option&gt; &lt;option value = ""2015""&gt; 2015 &lt;/ option &gt; &lt;option value = ""2014""&gt; 2014 &lt;/ option&gt; &lt;option value = ""2013""&gt; 2013 &lt;"&amp;"/ option&gt; &lt;option value = ""2012""&gt; 2012 &lt;/ option&gt; &lt;option value = ""2011""&gt; 2011 &lt; / option&gt; &lt;option value = ""2010""&gt; 2010 &lt;/ option&gt; &lt;option value = ""2009""&gt; 2009 &lt;/ option&gt; &lt;option value = ""2008""&gt; 2008 &lt;/ option&gt; &lt;option value = ""2007""&gt; 2007 &lt;/ "&amp;"option&gt; &lt;option value = ""2006""&gt; 2006 &lt;/ option&gt; &lt;option value = ""2005""&gt; 2005 &lt;/ option&gt; &lt;option value = ""2004""&gt; 2004 &lt;/ option&gt; &lt;option value = ""2003 ""&gt; 2003 &lt;/ option&gt; &lt;option value ="" 2002 ""&gt; 2002 &lt;/ option&gt; &lt;option value ="" 2001 ""&gt; 2001 &lt;/ "&amp;"option&gt; &lt;option value ="" 2000 ""&gt; 2000 &lt;/ option&gt; &lt;option value = ""1999""&gt; 1999 &lt;/ option&gt; &lt;option value = ""1998""&gt; 1998 &lt;/ option&gt; &lt;option value = ""1997""&gt; 1997 &lt;/ option&gt; &lt;option value = ""1996""&gt; 1996 &lt;/ option&gt; &lt;option value = ""1995""&gt; 1995 &lt;/ op"&amp;"tion&gt; &lt;option value = ""1994""&gt; 1994 &lt;/ option&gt; &lt;option value = ""1993""&gt; 1993 &lt;/ option&gt; &lt;option value = ""1992""&gt; 1992 &lt;/ option&gt; &lt;option value = ""1991""&gt; 1991 &lt;/ option&gt; &lt;option value = ""1990""&gt; 1990 &lt;/ option&gt; &lt;option value = "" 1989 ""&gt; 1989 &lt;/ opt"&amp;"ion&gt; &lt;option value ="" 1988 ""&gt; 1988 &lt;/ option&gt; &lt;option value ="" 1987 ""&gt; 1987 &lt;/ option&gt; &lt;option value ="" 1986 ""&gt; 1986 &lt;/ option&gt; &lt;option value = ""1985""&gt; 1985 &lt;/ option&gt; &lt;option value = ""1984""&gt; 1984 &lt;/ option&gt; &lt;option value = ""1983""&gt; 1983 &lt;/ opt"&amp;"ion&gt; &lt;option value = ""1982""&gt; 1982 &lt;/ option&gt; &lt; option value = ""1981""&gt; 1981 &lt;/ option&gt; &lt;option value = ""1980""&gt; 1980 &lt;/ option&gt; &lt;option value = ""1979""&gt; 1979 &lt;/ option&gt; &lt;option value = ""1978""&gt; 1978 &lt;/ option &gt; &lt;option value = ""1977""&gt; 1977 &lt;/ opti"&amp;"on&gt; &lt;option value = ""1976""&gt; 1976 &lt;/ option&gt; &lt;option value = ""1975""&gt; 1975 &lt;/ option&gt; &lt;option value = ""1974""&gt; 1974 &lt; / option&gt; &lt;option value = ""1973""&gt; 1973 &lt;/ option&gt; &lt;option value = ""1972""&gt; 1972 &lt;/ option&gt; &lt;option value = ""1971""&gt; 1971 &lt;/ option"&amp;"&gt; &lt;option value = ""1970""&gt; 1970 &lt;/ option&gt; &lt;option value = ""1969""&gt; 1969 &lt;/ option&gt; &lt;option value = ""1968""&gt; 1968 &lt;/ option&gt; &lt;option value = ""1967""&gt; 1967 &lt;/ option&gt; &lt;option value = ""1966 ""&gt; 1966 &lt;/ option&gt; &lt;option value ="" 1965 ""&gt; 1965 &lt;/ option&gt;"&amp;" &lt;option value ="" 1964 ""&gt; 1964 &lt;/ option&gt; &lt;option value ="" 1963 ""&gt; 1963 &lt;/ option&gt; &lt;option value = ""1962""&gt; 1962 &lt;/ option&gt; &lt;option value = ""1961""&gt; 1961 &lt;/ option&gt; &lt;option value = ""1960""&gt; 1960 &lt;/ op tion&gt; &lt;option value = ""1959""&gt; 1959 &lt;/ option&gt;"&amp;" &lt;option value = ""1958""&gt; 1958 &lt;/ option&gt; &lt;option value = ""1957""&gt; 1957 &lt;/ option&gt; &lt;option value = ""1956""&gt; 1956 &lt;/ option&gt; &lt;option value = ""1955""&gt; 1955 &lt;/ option&gt; &lt;option value = ""1954""&gt; 1954 &lt;/ option&gt; &lt;option value = ""1953""&gt; 1953 &lt;/ option&gt; &lt;o"&amp;"ption value = ""1952"" &gt; 1952 &lt;/ option&gt; &lt;option value = ""1951""&gt; 1951 &lt;/ option&gt; &lt;option value = ""1950""&gt; 1950 &lt;/ option&gt; &lt;option value = ""1949""&gt; 1949 &lt;/ option&gt; &lt;option value = "" 1948 ""&gt; 1948 &lt;/ option&gt; &lt;option value ="" 1947 ""&gt; 1947 &lt;/ option&gt; &lt;"&amp;"option value ="" 1946 ""&gt; 1946 &lt;/ option&gt; &lt;option value ="" 1945 ""&gt; 1945 &lt;/ option&gt; &lt;option value = ""1944""&gt; 1944 &lt;/ option&gt; &lt;option value = ""1943""&gt; 1943 &lt;/ option&gt; &lt;option value = ""1942""&gt; 1942 &lt;/ option&gt; &lt;option value = ""1941""&gt; 1941 &lt;/ option&gt; &lt; "&amp;"option value = ""1940""&gt; 1940 &lt;/ option&gt; &lt;option value = ""1939""&gt; 1939 &lt;/ option&gt; &lt;option value = ""1938""&gt; 1938 &lt;/ option&gt; &lt;option value = ""1937""&gt; 1937 &lt;/ option &gt; &lt;option value = ""1936""&gt; 1936 &lt;/ option&gt; &lt;option value = ""1935""&gt; 1935 &lt;/ option&gt; &lt;op"&amp;"tion value = ""1934""&gt; 1934 &lt;/ option&gt; &lt;option value = ""1933""&gt; 1933 &lt; / option&gt; &lt;option value = ""1932""&gt; 1932 &lt;/ option&gt; &lt;option value = ""1931""&gt; 1931 &lt;/ option&gt; &lt;option v alue = ""1930""&gt; 1930 &lt;/ option&gt; &lt;option value = ""1929""&gt; 1929 &lt;/ option&gt; &lt;opt"&amp;"ion value = ""1928""&gt; 1928 &lt;/ option&gt; &lt;option value = ""1927""&gt; 1927 &lt;/ option&gt; &lt;option value = ""1926""&gt; 1926 &lt;/ option&gt; &lt;option value = ""1925""&gt; 1925 &lt;/ option&gt; &lt;option value = ""1924""&gt; 1924 &lt;/ option&gt; &lt;option value = ""1923""&gt; 1923 &lt;/ option&gt; &lt;option"&amp;" value = ""1922""&gt; 1922 &lt;/ option&gt; &lt;option value = ""1921""&gt; 1921 &lt;/ option&gt; &lt;option value = ""1920""&gt; 1920 &lt;/ option&gt; &lt;option value = ""1919""&gt; 1919 &lt;/ option&gt; &lt;option value = ""1918""&gt; 1918 &lt;/ option&gt; &lt;option value = ""1917""&gt; 1917 &lt;/ option&gt; &lt;option va"&amp;"lue = ""1916""&gt; 1916 &lt;/ option&gt; &lt;option value = ""1915"" &gt; 1915 &lt;/ option&gt; &lt;option value = ""1914""&gt; 1914 &lt;/ option&gt; &lt;option value = ""1913""&gt; 1913 &lt;/ option&gt; &lt;option value = ""1912""&gt; 1912 &lt;/ option&gt; &lt;option value = "" 1911 ""&gt; 1911 &lt;/ option&gt; &lt;option va"&amp;"lue ="" 1910 ""&gt; 1910 &lt;/ option&gt; &lt;option value ="" 1909 ""&gt; 1909 &lt;/ option&gt; &lt;option value ="" 1908 ""&gt; 1908 &lt;/ option&gt; &lt;option value = ""1907""&gt; 1907 &lt;/ option&gt; &lt;option value = ""1906""&gt; 1906 &lt;/ option&gt; &lt;option value = ""1905""&gt; 1905 &lt;/ option&gt; &lt;option va"&amp;"lue = ""1904""&gt; 1904 &lt;/ option&gt; &lt; option value = ""1903""&gt; 1903 &lt;/ option&gt; &lt;option value = ""1902""&gt; 1902 &lt;/ option&gt; &lt;option value = ""1901""&gt; 19 01 &lt;/ option&gt; &lt;option value = ""1900""&gt; 1900 &lt;/ option&gt; &lt;/ select&gt; &lt;div tabindex = ""- 1"" class = ""airy-age"&amp;"-gate-submit airy-submit-button airy airy-submit- disabled ""&gt; Submit &lt;/ div&gt; &lt;/ div&gt; &lt;/ div&gt; &lt;/ div&gt; &lt;/ div&gt; &lt;/ div&gt; &lt;div tabindex ="" - 1 ""class ="" airy-install-flash-dialog airy-course airy -Vertical-centering-table dialog airy-airy-denied ""style ="&amp;""" opacity: 0; visibility: hidden; ""&gt; &lt;div tabindex ="" - 1 ""class ="" airy-install-flash-vertical-centering-table-cell airy-vertical-centering-table-cell ""&gt; &lt;div tabindex ="" - 1 ""class = ""airy-vertical-centering-wrapper airy-install-flash-elements-"&amp;"wrapper""&gt; &lt;div tabindex = ""- 1"" class = ""airy-install-flash-elements airy-dialog-elements""&gt; &lt;div tabindex = "" -1 ""class ="" airy-install-flash-prompt ""&gt; Adobe Flash Player is required to watch this video &lt;/ div&gt; &lt;div = tabindex."" - 1 ""class ="" "&amp;"airy-install-flash-button-wrapper airy -dialog-inner-elements ""&gt; &lt;div tabindex ="" - 1 ""class ="" airy-install-flash-button airy-button ""&gt; install Flash Player &lt;/ div&gt; &lt;/ div&gt; &lt;/ div&gt; &lt;/ div&gt; &lt;/ div&gt; &lt;/ div&gt; &lt;div tabindex = ""- 1"" class = ""airy-video"&amp;"-unsupported-dialog airy-course airy-vertical-centering table-airy-dialog airy-denied"" style = ""opacity: 0; visibility: hidden; ""&gt; &lt;div tabindex ="" - 1 ""class ="" airy-video-unsupported-vertical-centering-table-cell airy-vertical-centering-table-cell"&amp;" ""&gt; &lt;div tabindex ="" - 1 ""class = ""airy-vertical-centering-wrapper airy-video-unsupported-elements-wrapper""&gt; &lt;div tabindex = ""- 1"" class = ""airy-video-unsupported-elements airy-dialog-elements""&gt; &lt;div tabindex = "" -1 ""class ="" airy-video-unsupp"&amp;"orted-prompt ""&gt; &lt;/ div&gt; &lt;/ div&gt; &lt;/ div&gt; &lt;/ div&gt; &lt;/ div&gt; &lt;div tabindex ="" - 1 ""class ="" airy-loading- spinner-stage airy-stage ""&gt; &lt;div tabindex ="" - 1 ""class ="" airy-loading-spinner-vertical-centering-table-cell airy-vertical-centering-table-cell "&amp;"""&gt; &lt;div tabindex ="" - 1 ""class ="" airy-loading-spinner container airy-scalable-hint-container ""&gt; &lt;div tabindex ="" - 1 ""class ="" airy-loading-spinner-dummy airy-scalable-dummy ""&gt; &lt;/ div&gt; &lt; div tabindex = ""- 1"" class = ""airy-loading-spinner airy"&amp;"-hint"" style = ""visibility: hidden;""&gt; &lt;/ div&gt; &lt;/ div&gt; &lt;/ div&gt; &lt;/ div&gt; &lt;div tabindex = ""- 1 ""class ="" airy-ads-screen-size-toggle airy-screen-size-toggle airy-fullscreen ""style ="" visibility: hidden; ""&gt; &lt;/ div&gt; &lt;div tabindex = ""-1"" class = ""air"&amp;"y-ad-prompt-container"" style = ""visibility: hidden;""&gt; &lt;div tabindex = ""- 1"" class = ""airy-ad-prompt-vertical-centering table-airy-vertical- centering-table ""&gt; &lt;div tabindex ="" - 1 ""class ="" airy-ad-prompt-vertical-centering-table-cell airy-verti"&amp;"cal-centering-table-cell ""&gt; &lt;div tabindex ="" - 1 ""class = ""airy-ad-prompt-label""&gt; &lt;/ div&gt; &lt;/ div&gt; &lt;/ div&gt; &lt;/ div&gt; &lt;div tabindex = ""- 1"" class = ""airy-ads-controls-container"" style = ""visibility: hidden; ""&gt; &lt;div tabindex ="" - 1 ""class ="" airy"&amp;"-ads-audio-toggle airy-audio-toggle airy-on ""style ="" visibility: hidden; ""&gt; &lt;/ div&gt; &lt;div tabindex ="" - 1 ""class ="" airy-time-remaining-label-container ""&gt; &lt;div tabindex ="" - 1 ""class ="" airy-time-remaining-vertical-centering table-airy-vertical-"&amp;"centering-table ""&gt; &lt;div tabindex = ""- 1"" class = ""airy-time-remaining-vertical-centering-table-cell airy-vertical-centering-table-cell""&gt; &lt;div tabindex = ""- 1"" class = ""airy-vertical-centering-wrapper airy-time-remaining-label-wrapper ""&gt; &lt;div tabi"&amp;"ndex ="" - 1 ""class ="" airy-time-remaining-label ""style ="" visibility: hidden; ""&gt; &lt;/ div&gt; &lt;div tabi ndex = ""- 1"" class = ""airy-ad-skip"" style = ""visibility: hidden;""&gt; &lt;/ div&gt; &lt;div tabindex = ""- 1"" class = ""airy-ad-end"" style = ""visibility:"&amp;" hidden; ""&gt; &lt;/ div&gt; &lt;/ div&gt; &lt;/ div&gt; &lt;/ div&gt; &lt;/ div&gt; &lt;div tabindex ="" - 1 ""class ="" airy-learn-more ""style ="" visibility: hidden; ""&gt; &lt;/ div&gt; &lt;/ div&gt; &lt;div tabindex = ""- 1"" class = ""airy-play-toggle-hint-stage airy-course airy-cursor""&gt; &lt;div tabind"&amp;"ex = ""- 1"" class = ""airy-play -toggle-hint-vertical-centering-table-cell airy-vertical-centering-table-cell airy-cursor ""&gt; &lt;div tabindex ="" - 1 ""class ="" airy-play-toggle-hint-container airy-scalable- hint-container ""&gt; &lt;div tabindex ="" - 1 ""clas"&amp;"s ="" airy-play-toggle-hint-dummy airy-scalable-dummy ""&gt; &lt;/ div&gt; &lt;div tabindex ="" - 1 ""class ="" airy-play -toggle airy-hint-hint-hint airy-play ""style ="" opacity: 1; visibility: visible; ""&gt; &lt;/ div&gt; &lt;/ div&gt; &lt;/ div&gt; &lt;/ div&gt; &lt;div tabindex ="" - 1 ""cl"&amp;"ass ="" airy-replay-hint-stage airy-stage ""style ="" visibility: hidden ; ""&gt; &lt;div tabindex ="" - 1 ""class ="" airy-replay-hint-vertical-centering-table-cell airy-vertical-centering-table-cell airy-cursor ""&gt; &lt;div tabindex ="" - 1 ""class = ""airy-repla"&amp;"y-hint-container airy-scalable-hint-container""&gt; &lt;div tabindex = ""- 1"" class = ""airy-replay-hint-dummy airy-scalable-dummy""&gt; &lt;/ div&gt; &lt;div tabindex = ""- 1"" class = ""airy-replay-hint airy-hint""&gt; &lt;/ div&gt; &lt;/ div&gt; &lt;/ div&gt; &lt;/ div&gt; &lt;div tabindex = ""- 1"&amp;""" class = ""airy-autoplay-hint -stage airy-stage ""style ="" visibility: hidden; ""&gt; &lt;div tabindex ="" - 1 ""class ="" airy-autoplay-hint-vertical-centering-table-cell airy-vertical-centering-table-cell airy- cursor ""&gt; &lt;div tabindex ="" - 1 ""class ="" "&amp;"autoplay airy-airy-hint-container-scalable-hint-container ""&gt; &lt;div tabindex ="" - 1 ""class ="" airy-autoplay-hint-dummy airy- scalable-dummy ""&gt; &lt;/ div&gt; &lt;/ div&gt; &lt;/ div&gt; &lt;/ div&gt; &lt;/ div&gt; &lt;/ div&gt; &lt;input type ="" hidden ""name ="" ""value ="" https: // pictu"&amp;"res-eu .ssl-image amazon.com / images / I / A1j0ukTVb4S.mp4 ""Class ="" video-url ""&gt; &lt;input type ="" hidden ""name ="" ""value ="" https://images-eu.ssl-images-amazon.com/images/I/713lMEcV6SS.png ""class ="" video-slate-img-url ""&gt; &amp; nbsp; for adults thi"&amp;"s heated mattress warm your nights it is very easy to install thanks to the cords which keeps in place all night ￼il be laid directly on the mattress ￼ below the fitted sheet to make the foot of the bed so that pillows are not pas￼ at the chaleur￼. Heat h"&amp;"alf an hour before moving !! the bed is warm. If you want to leave it on all night, position the minimum. Personally I prefer the warm up for half an hour and turn it off! it starts in the washing machine position ""&amp; nbsp; delicate linen &amp; nbsp;"" Hoping"&amp;" it will be cold this winter! Watch out for people wearing pacemaker￼. I hope this helps")</f>
        <v>Very useful in winter approaches &lt;div id = "video-block-R2P9A8YRBE8WQ4" class = "a-section-spacing-small-spacing has-top video mini-block"&gt; &lt;div tabindex = "0 "class =" airy airy-svg vmin-supported airy-skin-beacon "style =" background-color: rgb (0, 0, 0); position: relative; width: 100%; height: 100%; font-size : 0px; overflow: hidden; outline: none; "&gt; &lt;div class =" airy-renderer-container "style =" position: relative; height: 100%; width: 100%; "&gt; &lt;video id =" 7 " preload = "auto" src = "https://images-eu.ssl-images-amazon.com/images/I/A1j0ukTVb4S.mp4" style = "position: absolute; left: 0px; top: 0px; overflow: hidden ; height: 1px; width: 1px; "&gt; &lt;/ video&gt; &lt;/ div&gt; &lt;div id =" airy-slate-preload "style =" background-color: rgb (0, 0, 0); background-image: url (&amp; quot; https: //images-eu.ssl-images-amazon.com/images/I/713lMEcV6SS.png&amp;quot;); background-size: contain; background-position: center center; background-repeat: no-repeat ; position: absolute; top: 0px; left: 0px; visibility: visible; width: 100%; height: 100% "&gt; &lt;/ di v&gt; &lt;iframe scrolling = "no" frameborder = "0" src = "about: blank" style = "display: none;"&gt; &lt;/ iframe&gt; &lt;div tabindex = "- 1" class = "airy-controls-container "style =" opacity: 0; visibility: hidden; "&gt; &lt;div tabindex =" - 1 "class =" airy-screen-size-toggle airy-fullscreen "&gt; &lt;/ div&gt; &lt;div tabindex =" - 1 "class =" airy-container-bottom " &gt; &lt;div tabindex = "- 1" class = "airy-track-bar spacer-left" style = "width: 11px;"&gt; &lt;/ div&gt; &lt;div tabindex = "- 1" class = "airy-play- toggle airy-play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 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 spacer-right "style =" float: right; width: 11px; "&gt; &lt;/ div&gt; &lt;div tabindex =" - 1 "class =" airy-track-bar-container "style =" margin-left: 35px; margin-right: 75px; "&gt; &lt;div tabindex =" - 1 "class =" airy-airy-track-bar vertical-centering-table "&gt; &lt;div tabindex =" - 1 "class =" airy-vertical-centering- table-cell "&gt; &lt;div tabindex =" - 1 "class =" airy-track-bar elements "&gt; &lt;div tabindex =" - 1 "class =" airy-progress bar "&gt; &lt;/ div&gt; &lt;div tabindex = "- 1" class = "airy-scrubber 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"airy-airy-age-gate course airy-vertical-centering table-airy-dialog"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time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 One value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&lt;option value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&lt;option value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&lt;option value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airy-course airy -Vertical-centering-table dialog airy-airy-denied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 tabindex." - 1 "class =" airy-install-flash-button-wrapper airy -dialog-inner-elements "&gt; &lt;div tabindex =" - 1 "class =" airy-install-flash-button airy-button "&gt; install Flash Player &lt;/ div&gt; &lt;/ div&gt; &lt;/ div&gt; &lt;/ div&gt; &lt;/ div&gt; &lt;/ div&gt; &lt;div tabindex = "- 1" class = "airy-video-unsupported-dialog airy-course airy-vertical-centering table-airy-dialog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 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 airy-fullscreen "style =" visibility: hidden; "&gt; &lt;/ div&gt; &lt;div tabindex = "-1" class = "airy-ad-prompt-container" style = "visibility: hidden;"&gt; &lt;div tabindex = "- 1" class = "airy-ad-prompt-vertical-centering table-airy-vertical-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 table-airy-vertical-centering-table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airy-course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 airy-hint-hint-hint airy-play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pictures-eu .ssl-image amazon.com / images / I / A1j0ukTVb4S.mp4 "Class =" video-url "&gt; &lt;input type =" hidden "name =" "value =" https://images-eu.ssl-images-amazon.com/images/I/713lMEcV6SS.png "class =" video-slate-img-url "&gt; &amp; nbsp; for adults this heated mattress warm your nights it is very easy to install thanks to the cords which keeps in place all night ￼il be laid directly on the mattress ￼ below the fitted sheet to make the foot of the bed so that pillows are not pas￼ at the chaleur￼. Heat half an hour before moving !! the bed is warm. If you want to leave it on all night, position the minimum. Personally I prefer the warm up for half an hour and turn it off! it starts in the washing machine position "&amp; nbsp; delicate linen &amp; nbsp;" Hoping it will be cold this winter! Watch out for people wearing pacemaker￼. I hope this helps</v>
      </c>
    </row>
    <row r="4458">
      <c r="A4458" s="1">
        <v>4.0</v>
      </c>
      <c r="B4458" s="1" t="s">
        <v>4407</v>
      </c>
      <c r="C4458" t="str">
        <f>IFERROR(__xludf.DUMMYFUNCTION("GOOGLETRANSLATE(B4458, ""fr"", ""en"")"),"good product and good delivery an effective product for a small price. I had handsfree expensive and of poor quality. I was amazed at the value. Obviously this is not the high end. but frankly it is excellent. least: saturates when food thoroughly .... bu"&amp;"t ... normal. and no possibility of multimedia listening, or skype. it's just the phone.")</f>
        <v>good product and good delivery an effective product for a small price. I had handsfree expensive and of poor quality. I was amazed at the value. Obviously this is not the high end. but frankly it is excellent. least: saturates when food thoroughly .... but ... normal. and no possibility of multimedia listening, or skype. it's just the phone.</v>
      </c>
    </row>
    <row r="4459">
      <c r="A4459" s="1">
        <v>4.0</v>
      </c>
      <c r="B4459" s="1" t="s">
        <v>4408</v>
      </c>
      <c r="C4459" t="str">
        <f>IFERROR(__xludf.DUMMYFUNCTION("GOOGLETRANSLATE(B4459, ""fr"", ""en"")"),"Optical illusion! First day .... painful blisters on the toes [4orteils each foot] for more rien.pas heavy.")</f>
        <v>Optical illusion! First day .... painful blisters on the toes [4orteils each foot] for more rien.pas heavy.</v>
      </c>
    </row>
    <row r="4460">
      <c r="A4460" s="1">
        <v>5.0</v>
      </c>
      <c r="B4460" s="1" t="s">
        <v>4409</v>
      </c>
      <c r="C4460" t="str">
        <f>IFERROR(__xludf.DUMMYFUNCTION("GOOGLETRANSLATE(B4460, ""fr"", ""en"")"),"Jolie Gives good and very pretty")</f>
        <v>Jolie Gives good and very pretty</v>
      </c>
    </row>
    <row r="4461">
      <c r="A4461" s="1">
        <v>5.0</v>
      </c>
      <c r="B4461" s="1" t="s">
        <v>4410</v>
      </c>
      <c r="C4461" t="str">
        <f>IFERROR(__xludf.DUMMYFUNCTION("GOOGLETRANSLATE(B4461, ""fr"", ""en"")"),"Good quality / price for brand awareness Jolie shows, lightweight, comfortable to wear. Wear it when in chic outfit when no Lacoste clothes on your back (If not overload!)! Quartz is very accurate (US Mechanism brand Movado [I think!]). The Italian bracel"&amp;"et is very good and easy to adjust by cons did not watch everyday since it does not display the date of the month.")</f>
        <v>Good quality / price for brand awareness Jolie shows, lightweight, comfortable to wear. Wear it when in chic outfit when no Lacoste clothes on your back (If not overload!)! Quartz is very accurate (US Mechanism brand Movado [I think!]). The Italian bracelet is very good and easy to adjust by cons did not watch everyday since it does not display the date of the month.</v>
      </c>
    </row>
    <row r="4462">
      <c r="A4462" s="1">
        <v>5.0</v>
      </c>
      <c r="B4462" s="1" t="s">
        <v>4411</v>
      </c>
      <c r="C4462" t="str">
        <f>IFERROR(__xludf.DUMMYFUNCTION("GOOGLETRANSLATE(B4462, ""fr"", ""en"")"),"Good product I chose this rating because I received very quickly, they are in very good conditions and the size is fine. I loved the speed of delivery. I recommend it for all.")</f>
        <v>Good product I chose this rating because I received very quickly, they are in very good conditions and the size is fine. I loved the speed of delivery. I recommend it for all.</v>
      </c>
    </row>
    <row r="4463">
      <c r="A4463" s="1">
        <v>5.0</v>
      </c>
      <c r="B4463" s="1" t="s">
        <v>4412</v>
      </c>
      <c r="C4463" t="str">
        <f>IFERROR(__xludf.DUMMYFUNCTION("GOOGLETRANSLATE(B4463, ""fr"", ""en"")"),"perfect size XXL is suitable for the 44 elastis fabric somewhat stretchy wife so good body lines on the ideal length strapless")</f>
        <v>perfect size XXL is suitable for the 44 elastis fabric somewhat stretchy wife so good body lines on the ideal length strapless</v>
      </c>
    </row>
    <row r="4464">
      <c r="A4464" s="1">
        <v>5.0</v>
      </c>
      <c r="B4464" s="1" t="s">
        <v>4413</v>
      </c>
      <c r="C4464" t="str">
        <f>IFERROR(__xludf.DUMMYFUNCTION("GOOGLETRANSLATE(B4464, ""fr"", ""en"")"),"essential functions and multi Top to heat baby milk (not microwave) keep them warm for several hours to see keep water hot ds bib night and that there is no longer a pour milk powder and no waiting for bb 😁les more it thawed breast milk and acts as steri"&amp;"lizer 2 bib. It takes up less space than large sterilizer I highly recommend it for us childminders 😊")</f>
        <v>essential functions and multi Top to heat baby milk (not microwave) keep them warm for several hours to see keep water hot ds bib night and that there is no longer a pour milk powder and no waiting for bb 😁les more it thawed breast milk and acts as sterilizer 2 bib. It takes up less space than large sterilizer I highly recommend it for us childminders 😊</v>
      </c>
    </row>
    <row r="4465">
      <c r="A4465" s="1">
        <v>5.0</v>
      </c>
      <c r="B4465" s="1" t="s">
        <v>4414</v>
      </c>
      <c r="C4465" t="str">
        <f>IFERROR(__xludf.DUMMYFUNCTION("GOOGLETRANSLATE(B4465, ""fr"", ""en"")"),"Quality of lacoste Perfect: LACOSTE")</f>
        <v>Quality of lacoste Perfect: LACOSTE</v>
      </c>
    </row>
    <row r="4466">
      <c r="A4466" s="1">
        <v>5.0</v>
      </c>
      <c r="B4466" s="1" t="s">
        <v>4415</v>
      </c>
      <c r="C4466" t="str">
        <f>IFERROR(__xludf.DUMMYFUNCTION("GOOGLETRANSLATE(B4466, ""fr"", ""en"")"),"Nickel The shoes arrived the day before, good quality to look. See in time but for now satisfied!")</f>
        <v>Nickel The shoes arrived the day before, good quality to look. See in time but for now satisfied!</v>
      </c>
    </row>
    <row r="4467">
      <c r="A4467" s="1">
        <v>5.0</v>
      </c>
      <c r="B4467" s="1" t="s">
        <v>4416</v>
      </c>
      <c r="C4467" t="str">
        <f>IFERROR(__xludf.DUMMYFUNCTION("GOOGLETRANSLATE(B4467, ""fr"", ""en"")"),"Get Shoes Shoes very good anyway with vans are never disappointed!")</f>
        <v>Get Shoes Shoes very good anyway with vans are never disappointed!</v>
      </c>
    </row>
    <row r="4468">
      <c r="A4468" s="1">
        <v>5.0</v>
      </c>
      <c r="B4468" s="1" t="s">
        <v>4417</v>
      </c>
      <c r="C4468" t="str">
        <f>IFERROR(__xludf.DUMMYFUNCTION("GOOGLETRANSLATE(B4468, ""fr"", ""en"")"),"Product perfect for use We use this every day for our young child, young parents can buy easily this sterilizer.")</f>
        <v>Product perfect for use We use this every day for our young child, young parents can buy easily this sterilizer.</v>
      </c>
    </row>
    <row r="4469">
      <c r="A4469" s="1">
        <v>5.0</v>
      </c>
      <c r="B4469" s="1" t="s">
        <v>4418</v>
      </c>
      <c r="C4469" t="str">
        <f>IFERROR(__xludf.DUMMYFUNCTION("GOOGLETRANSLATE(B4469, ""fr"", ""en"")"),"1 year after I bought the same! Worn daily for 1 year I bought the same pair! Unbeatable value for money! Excellent game for this price")</f>
        <v>1 year after I bought the same! Worn daily for 1 year I bought the same pair! Unbeatable value for money! Excellent game for this price</v>
      </c>
    </row>
    <row r="4470">
      <c r="A4470" s="1">
        <v>5.0</v>
      </c>
      <c r="B4470" s="1" t="s">
        <v>4419</v>
      </c>
      <c r="C4470" t="str">
        <f>IFERROR(__xludf.DUMMYFUNCTION("GOOGLETRANSLATE(B4470, ""fr"", ""en"")"),"nice and good value for money For many years, my girlfriend and I buy products from this brand and we are never disappointed, the colors are nice, the quality is quite good, the color remains very lively even after months, and in addition they arrive quic"&amp;"kly, that ask for? If you need a sweat shirt unadorned but done its job perfectly, I can not recommend this brand a good value")</f>
        <v>nice and good value for money For many years, my girlfriend and I buy products from this brand and we are never disappointed, the colors are nice, the quality is quite good, the color remains very lively even after months, and in addition they arrive quickly, that ask for? If you need a sweat shirt unadorned but done its job perfectly, I can not recommend this brand a good value</v>
      </c>
    </row>
    <row r="4471">
      <c r="A4471" s="1">
        <v>5.0</v>
      </c>
      <c r="B4471" s="1" t="s">
        <v>4420</v>
      </c>
      <c r="C4471" t="str">
        <f>IFERROR(__xludf.DUMMYFUNCTION("GOOGLETRANSLATE(B4471, ""fr"", ""en"")"),"Perfect ! I just received my bag today. I already have several different colors, and the quality is by appointment. No surprises. The color (black denim) is the picture. I recommend.")</f>
        <v>Perfect ! I just received my bag today. I already have several different colors, and the quality is by appointment. No surprises. The color (black denim) is the picture. I recommend.</v>
      </c>
    </row>
    <row r="4472">
      <c r="A4472" s="1">
        <v>5.0</v>
      </c>
      <c r="B4472" s="1" t="s">
        <v>4421</v>
      </c>
      <c r="C4472" t="str">
        <f>IFERROR(__xludf.DUMMYFUNCTION("GOOGLETRANSLATE(B4472, ""fr"", ""en"")"),"Prettier than the picture I confess to being amazed at the quality of this gem. At which point I hasten to buy the earrings. This pendant is original and it made an impression. The play of light of this jewel is bluffing.")</f>
        <v>Prettier than the picture I confess to being amazed at the quality of this gem. At which point I hasten to buy the earrings. This pendant is original and it made an impression. The play of light of this jewel is bluffing.</v>
      </c>
    </row>
    <row r="4473">
      <c r="A4473" s="1">
        <v>5.0</v>
      </c>
      <c r="B4473" s="1" t="s">
        <v>4422</v>
      </c>
      <c r="C4473" t="str">
        <f>IFERROR(__xludf.DUMMYFUNCTION("GOOGLETRANSLATE(B4473, ""fr"", ""en"")"),"Although for baby Really good for baby")</f>
        <v>Although for baby Really good for baby</v>
      </c>
    </row>
    <row r="4474">
      <c r="A4474" s="1">
        <v>5.0</v>
      </c>
      <c r="B4474" s="1" t="s">
        <v>4423</v>
      </c>
      <c r="C4474" t="str">
        <f>IFERROR(__xludf.DUMMYFUNCTION("GOOGLETRANSLATE(B4474, ""fr"", ""en"")"),"EXCELLENT report quality / price The first impression is good unpacking it is quite nice but a bit heavy. Comfort is okay some much more expensive helmets same month wearable. Listening to the sound is nice bass voices are well rendered but all lack a bit"&amp;" of precision but at this price nothing to say. The battery life is very good, I did not have measured but I recharge often. In short, a good buy I recommend without restrictions expected price.")</f>
        <v>EXCELLENT report quality / price The first impression is good unpacking it is quite nice but a bit heavy. Comfort is okay some much more expensive helmets same month wearable. Listening to the sound is nice bass voices are well rendered but all lack a bit of precision but at this price nothing to say. The battery life is very good, I did not have measured but I recharge often. In short, a good buy I recommend without restrictions expected price.</v>
      </c>
    </row>
    <row r="4475">
      <c r="A4475" s="1">
        <v>2.0</v>
      </c>
      <c r="B4475" s="1" t="s">
        <v>1261</v>
      </c>
      <c r="C4475" t="str">
        <f>IFERROR(__xludf.DUMMYFUNCTION("GOOGLETRANSLATE(B4475, ""fr"", ""en"")"),"good good")</f>
        <v>good good</v>
      </c>
    </row>
    <row r="4476">
      <c r="A4476" s="1">
        <v>1.0</v>
      </c>
      <c r="B4476" s="1" t="s">
        <v>4424</v>
      </c>
      <c r="C4476" t="str">
        <f>IFERROR(__xludf.DUMMYFUNCTION("GOOGLETRANSLATE(B4476, ""fr"", ""en"")"),"The product does not match the photo, old model The product does not match the photo, old model")</f>
        <v>The product does not match the photo, old model The product does not match the photo, old model</v>
      </c>
    </row>
    <row r="4477">
      <c r="A4477" s="1">
        <v>1.0</v>
      </c>
      <c r="B4477" s="1" t="s">
        <v>4425</v>
      </c>
      <c r="C4477" t="str">
        <f>IFERROR(__xludf.DUMMYFUNCTION("GOOGLETRANSLATE(B4477, ""fr"", ""en"")"),"Disappointed disappointed with my purchase. I expected to have a warm coat but his is not the case.")</f>
        <v>Disappointed disappointed with my purchase. I expected to have a warm coat but his is not the case.</v>
      </c>
    </row>
    <row r="4478">
      <c r="A4478" s="1">
        <v>3.0</v>
      </c>
      <c r="B4478" s="1" t="s">
        <v>4426</v>
      </c>
      <c r="C4478" t="str">
        <f>IFERROR(__xludf.DUMMYFUNCTION("GOOGLETRANSLATE(B4478, ""fr"", ""en"")"),"Compliant Product compliant and very attractive price. As against the pacifier falls far inside. Whenever my daughter eat I have to remove the bottle so that the teat resumes form what irritates me a lot")</f>
        <v>Compliant Product compliant and very attractive price. As against the pacifier falls far inside. Whenever my daughter eat I have to remove the bottle so that the teat resumes form what irritates me a lot</v>
      </c>
    </row>
    <row r="4479">
      <c r="A4479" s="1">
        <v>4.0</v>
      </c>
      <c r="B4479" s="1" t="s">
        <v>4427</v>
      </c>
      <c r="C4479" t="str">
        <f>IFERROR(__xludf.DUMMYFUNCTION("GOOGLETRANSLATE(B4479, ""fr"", ""en"")"),"Beautiful shoes a long time I was looking for boots like this. Quality is at the rendezvous, careful though she tend to cut a little big. Consider a size less than your usual size.")</f>
        <v>Beautiful shoes a long time I was looking for boots like this. Quality is at the rendezvous, careful though she tend to cut a little big. Consider a size less than your usual size.</v>
      </c>
    </row>
    <row r="4480">
      <c r="A4480" s="1">
        <v>4.0</v>
      </c>
      <c r="B4480" s="1" t="s">
        <v>4428</v>
      </c>
      <c r="C4480" t="str">
        <f>IFERROR(__xludf.DUMMYFUNCTION("GOOGLETRANSLATE(B4480, ""fr"", ""en"")"),"Satisfactory good product and a priori without much risk products")</f>
        <v>Satisfactory good product and a priori without much risk products</v>
      </c>
    </row>
    <row r="4481">
      <c r="A4481" s="1">
        <v>4.0</v>
      </c>
      <c r="B4481" s="1" t="s">
        <v>4429</v>
      </c>
      <c r="C4481" t="str">
        <f>IFERROR(__xludf.DUMMYFUNCTION("GOOGLETRANSLATE(B4481, ""fr"", ""en"")"),"Top product that relaxes and relieves some pain.")</f>
        <v>Top product that relaxes and relieves some pain.</v>
      </c>
    </row>
    <row r="4482">
      <c r="A4482" s="1">
        <v>4.0</v>
      </c>
      <c r="B4482" s="1" t="s">
        <v>4430</v>
      </c>
      <c r="C4482" t="str">
        <f>IFERROR(__xludf.DUMMYFUNCTION("GOOGLETRANSLATE(B4482, ""fr"", ""en"")"),"suits my expectations at ease market, not cumbersome, the pocket is great for the laptop and take in all the papers")</f>
        <v>suits my expectations at ease market, not cumbersome, the pocket is great for the laptop and take in all the papers</v>
      </c>
    </row>
    <row r="4483">
      <c r="A4483" s="1">
        <v>5.0</v>
      </c>
      <c r="B4483" s="1" t="s">
        <v>4431</v>
      </c>
      <c r="C4483" t="str">
        <f>IFERROR(__xludf.DUMMYFUNCTION("GOOGLETRANSLATE(B4483, ""fr"", ""en"")"),"Perfect Very good broadcaster I have now for several me and who works at least 8 hours a jour.La capacity is large and the quality is bonne.je recommend this product.")</f>
        <v>Perfect Very good broadcaster I have now for several me and who works at least 8 hours a jour.La capacity is large and the quality is bonne.je recommend this product.</v>
      </c>
    </row>
    <row r="4484">
      <c r="A4484" s="1">
        <v>5.0</v>
      </c>
      <c r="B4484" s="1" t="s">
        <v>4432</v>
      </c>
      <c r="C4484" t="str">
        <f>IFERROR(__xludf.DUMMYFUNCTION("GOOGLETRANSLATE(B4484, ""fr"", ""en"")"),"Perhaps the most beautiful? I have already bought dissuseurs odor, so I found their work both healthy and pleasant Whenever I tried a different form My daughter has been caught by a colorful è broadcaster whose light varies), I have the offertt him to buy"&amp;" one: the class is fine, what matters Sitting on a wooden desk, he perfectly pass the liquid volume, but most have expired, is important, for according to the dosage and product disseminate sensitive smell or rather discreet I like the ability to program "&amp;"on 1h, 2h ou3h and finally the light in the form of a circle, is discrete, and can also turn off if desired short it delights me and diffuser I recommand it")</f>
        <v>Perhaps the most beautiful? I have already bought dissuseurs odor, so I found their work both healthy and pleasant Whenever I tried a different form My daughter has been caught by a colorful è broadcaster whose light varies), I have the offertt him to buy one: the class is fine, what matters Sitting on a wooden desk, he perfectly pass the liquid volume, but most have expired, is important, for according to the dosage and product disseminate sensitive smell or rather discreet I like the ability to program on 1h, 2h ou3h and finally the light in the form of a circle, is discrete, and can also turn off if desired short it delights me and diffuser I recommand it</v>
      </c>
    </row>
    <row r="4485">
      <c r="A4485" s="1">
        <v>5.0</v>
      </c>
      <c r="B4485" s="1" t="s">
        <v>4433</v>
      </c>
      <c r="C4485" t="str">
        <f>IFERROR(__xludf.DUMMYFUNCTION("GOOGLETRANSLATE(B4485, ""fr"", ""en"")"),"Purchased gift. I received several compliments on this bracelet. Like! Goes with almost any outfit.")</f>
        <v>Purchased gift. I received several compliments on this bracelet. Like! Goes with almost any outfit.</v>
      </c>
    </row>
    <row r="4486">
      <c r="A4486" s="1">
        <v>5.0</v>
      </c>
      <c r="B4486" s="1" t="s">
        <v>4434</v>
      </c>
      <c r="C4486" t="str">
        <f>IFERROR(__xludf.DUMMYFUNCTION("GOOGLETRANSLATE(B4486, ""fr"", ""en"")"),"On top Very satisfied with my purchase. Works perfectly well.")</f>
        <v>On top Very satisfied with my purchase. Works perfectly well.</v>
      </c>
    </row>
    <row r="4487">
      <c r="A4487" s="1">
        <v>5.0</v>
      </c>
      <c r="B4487" s="1" t="s">
        <v>4435</v>
      </c>
      <c r="C4487" t="str">
        <f>IFERROR(__xludf.DUMMYFUNCTION("GOOGLETRANSLATE(B4487, ""fr"", ""en"")"),"They are comfortable and good quality. Quick delivery. neat package. I bought socks to replace my old who were too worn. At the opening of the box pleasant surprise you discover pretty socks. They are of good quality. In use they are comfortable, they fit"&amp;" perfectly to the shape of the foot, the elastic are resistant even after several washes, they are hot there is no cold feet. A good price-performance ratio. I recommend his socks.")</f>
        <v>They are comfortable and good quality. Quick delivery. neat package. I bought socks to replace my old who were too worn. At the opening of the box pleasant surprise you discover pretty socks. They are of good quality. In use they are comfortable, they fit perfectly to the shape of the foot, the elastic are resistant even after several washes, they are hot there is no cold feet. A good price-performance ratio. I recommend his socks.</v>
      </c>
    </row>
    <row r="4488">
      <c r="A4488" s="1">
        <v>5.0</v>
      </c>
      <c r="B4488" s="1" t="s">
        <v>969</v>
      </c>
      <c r="C4488" t="str">
        <f>IFERROR(__xludf.DUMMYFUNCTION("GOOGLETRANSLATE(B4488, ""fr"", ""en"")"),"compliant compliant")</f>
        <v>compliant compliant</v>
      </c>
    </row>
    <row r="4489">
      <c r="A4489" s="1">
        <v>5.0</v>
      </c>
      <c r="B4489" s="1" t="s">
        <v>4436</v>
      </c>
      <c r="C4489" t="str">
        <f>IFERROR(__xludf.DUMMYFUNCTION("GOOGLETRANSLATE(B4489, ""fr"", ""en"")"),"impecable A pop simple and effective. Clamps over the microphone. Personally, I think it's better than having to tighten anti-pop on the arm / boom that supports the microphone. Now on a microphone singing I'm not on it more effective than anti-pop classi"&amp;"c double layer. But given my need (stream) and considering the price, I am very satisfied. However, I have a doubt about the life of the elastic holds. But hey, it is elastic, not difficult to change.")</f>
        <v>impecable A pop simple and effective. Clamps over the microphone. Personally, I think it's better than having to tighten anti-pop on the arm / boom that supports the microphone. Now on a microphone singing I'm not on it more effective than anti-pop classic double layer. But given my need (stream) and considering the price, I am very satisfied. However, I have a doubt about the life of the elastic holds. But hey, it is elastic, not difficult to change.</v>
      </c>
    </row>
    <row r="4490">
      <c r="A4490" s="1">
        <v>5.0</v>
      </c>
      <c r="B4490" s="1" t="s">
        <v>4437</v>
      </c>
      <c r="C4490" t="str">
        <f>IFERROR(__xludf.DUMMYFUNCTION("GOOGLETRANSLATE(B4490, ""fr"", ""en"")"),"Good Baby bottles are perfect as those of the pharmacy color drawings remains intact")</f>
        <v>Good Baby bottles are perfect as those of the pharmacy color drawings remains intact</v>
      </c>
    </row>
    <row r="4491">
      <c r="A4491" s="1">
        <v>5.0</v>
      </c>
      <c r="B4491" s="1" t="s">
        <v>4438</v>
      </c>
      <c r="C4491" t="str">
        <f>IFERROR(__xludf.DUMMYFUNCTION("GOOGLETRANSLATE(B4491, ""fr"", ""en"")"),"Just great urban Marche. Top and comfortable")</f>
        <v>Just great urban Marche. Top and comfortable</v>
      </c>
    </row>
    <row r="4492">
      <c r="A4492" s="1">
        <v>5.0</v>
      </c>
      <c r="B4492" s="1" t="s">
        <v>4439</v>
      </c>
      <c r="C4492" t="str">
        <f>IFERROR(__xludf.DUMMYFUNCTION("GOOGLETRANSLATE(B4492, ""fr"", ""en"")"),"Indispensable great for connecting a condenser microphone to a computer. a space-saving, but it is not too troublesome Cables provided (micro and power supply) are of suitable length (about 2m)")</f>
        <v>Indispensable great for connecting a condenser microphone to a computer. a space-saving, but it is not too troublesome Cables provided (micro and power supply) are of suitable length (about 2m)</v>
      </c>
    </row>
    <row r="4493">
      <c r="A4493" s="1">
        <v>5.0</v>
      </c>
      <c r="B4493" s="1" t="s">
        <v>4440</v>
      </c>
      <c r="C4493" t="str">
        <f>IFERROR(__xludf.DUMMYFUNCTION("GOOGLETRANSLATE(B4493, ""fr"", ""en"")"),"Same Good size and product according to the picture")</f>
        <v>Same Good size and product according to the picture</v>
      </c>
    </row>
    <row r="4494">
      <c r="A4494" s="1">
        <v>5.0</v>
      </c>
      <c r="B4494" s="1" t="s">
        <v>4441</v>
      </c>
      <c r="C4494" t="str">
        <f>IFERROR(__xludf.DUMMYFUNCTION("GOOGLETRANSLATE(B4494, ""fr"", ""en"")"),"Nothing to say Product compliant and efficient. No complaints. Good capacity. Quick to charge the iPhone. One can go on weekend quiet")</f>
        <v>Nothing to say Product compliant and efficient. No complaints. Good capacity. Quick to charge the iPhone. One can go on weekend quiet</v>
      </c>
    </row>
    <row r="4495">
      <c r="A4495" s="1">
        <v>5.0</v>
      </c>
      <c r="B4495" s="1" t="s">
        <v>4442</v>
      </c>
      <c r="C4495" t="str">
        <f>IFERROR(__xludf.DUMMYFUNCTION("GOOGLETRANSLATE(B4495, ""fr"", ""en"")"),"beautiful and comfortable Comfortable solid")</f>
        <v>beautiful and comfortable Comfortable solid</v>
      </c>
    </row>
    <row r="4496">
      <c r="A4496" s="1">
        <v>5.0</v>
      </c>
      <c r="B4496" s="1" t="s">
        <v>4443</v>
      </c>
      <c r="C4496" t="str">
        <f>IFERROR(__xludf.DUMMYFUNCTION("GOOGLETRANSLATE(B4496, ""fr"", ""en"")"),"Perfect Very good product very good quality. Simple effective fits the description. Simple to use, easy to clean. Takes place can.")</f>
        <v>Perfect Very good product very good quality. Simple effective fits the description. Simple to use, easy to clean. Takes place can.</v>
      </c>
    </row>
    <row r="4497">
      <c r="A4497" s="1">
        <v>5.0</v>
      </c>
      <c r="B4497" s="1" t="s">
        <v>4444</v>
      </c>
      <c r="C4497" t="str">
        <f>IFERROR(__xludf.DUMMYFUNCTION("GOOGLETRANSLATE(B4497, ""fr"", ""en"")"),"Good quality content")</f>
        <v>Good quality content</v>
      </c>
    </row>
    <row r="4498">
      <c r="A4498" s="1">
        <v>2.0</v>
      </c>
      <c r="B4498" s="1" t="s">
        <v>4445</v>
      </c>
      <c r="C4498" t="str">
        <f>IFERROR(__xludf.DUMMYFUNCTION("GOOGLETRANSLATE(B4498, ""fr"", ""en"")"),"Disappointed color (blue sky) does not correspond at all to the picture: it is rather a light blue oil. The shoe is like all 2750 model Superga size well. Too bad the actual color has nothing to do with the image on the site ...")</f>
        <v>Disappointed color (blue sky) does not correspond at all to the picture: it is rather a light blue oil. The shoe is like all 2750 model Superga size well. Too bad the actual color has nothing to do with the image on the site ...</v>
      </c>
    </row>
    <row r="4499">
      <c r="A4499" s="1">
        <v>1.0</v>
      </c>
      <c r="B4499" s="1" t="s">
        <v>4446</v>
      </c>
      <c r="C4499" t="str">
        <f>IFERROR(__xludf.DUMMYFUNCTION("GOOGLETRANSLATE(B4499, ""fr"", ""en"")"),"Disappointed I'm not satisfied with the purchase, but nothing to do with the product that is simply not suitable for baby 2 months and was breastfed, he needed a pacifier with less speed and more like the mother's breast.")</f>
        <v>Disappointed I'm not satisfied with the purchase, but nothing to do with the product that is simply not suitable for baby 2 months and was breastfed, he needed a pacifier with less speed and more like the mother's breast.</v>
      </c>
    </row>
    <row r="4500">
      <c r="A4500" s="1">
        <v>3.0</v>
      </c>
      <c r="B4500" s="1" t="s">
        <v>4447</v>
      </c>
      <c r="C4500" t="str">
        <f>IFERROR(__xludf.DUMMYFUNCTION("GOOGLETRANSLATE(B4500, ""fr"", ""en"")"),"Compliance has Received the moment. neat package, but the box was very damaged bottles. Fortunately they do nothing! If the product conforms to the descriptions. It remains to see how my pepette the love!")</f>
        <v>Compliance has Received the moment. neat package, but the box was very damaged bottles. Fortunately they do nothing! If the product conforms to the descriptions. It remains to see how my pepette the love!</v>
      </c>
    </row>
    <row r="4501">
      <c r="A4501" s="1">
        <v>3.0</v>
      </c>
      <c r="B4501" s="1" t="s">
        <v>4448</v>
      </c>
      <c r="C4501" t="str">
        <f>IFERROR(__xludf.DUMMYFUNCTION("GOOGLETRANSLATE(B4501, ""fr"", ""en"")"),"not bad, practice practice large back pocket. tissue déperle water .well average pensé.Taille is not just a small pouch. is worn on the front aussi.rapport quality fair price")</f>
        <v>not bad, practice practice large back pocket. tissue déperle water .well average pensé.Taille is not just a small pouch. is worn on the front aussi.rapport quality fair price</v>
      </c>
    </row>
    <row r="4502">
      <c r="A4502" s="1">
        <v>4.0</v>
      </c>
      <c r="B4502" s="1" t="s">
        <v>4449</v>
      </c>
      <c r="C4502" t="str">
        <f>IFERROR(__xludf.DUMMYFUNCTION("GOOGLETRANSLATE(B4502, ""fr"", ""en"")"),"Complies Complies, delivery neat, good value. 4 stars and not 5 because the dial is a little too big")</f>
        <v>Complies Complies, delivery neat, good value. 4 stars and not 5 because the dial is a little too big</v>
      </c>
    </row>
    <row r="4503">
      <c r="A4503" s="1">
        <v>4.0</v>
      </c>
      <c r="B4503" s="1" t="s">
        <v>4450</v>
      </c>
      <c r="C4503" t="str">
        <f>IFERROR(__xludf.DUMMYFUNCTION("GOOGLETRANSLATE(B4503, ""fr"", ""en"")"),"The cat ears on the hood too great 👌 Blow of heart of my daughter's ears on the hood on top everyone is a fan 🤩 against by not s expect a reasonable thickness but holds up well to washing")</f>
        <v>The cat ears on the hood too great 👌 Blow of heart of my daughter's ears on the hood on top everyone is a fan 🤩 against by not s expect a reasonable thickness but holds up well to washing</v>
      </c>
    </row>
    <row r="4504">
      <c r="A4504" s="1">
        <v>4.0</v>
      </c>
      <c r="B4504" s="1" t="s">
        <v>4451</v>
      </c>
      <c r="C4504" t="str">
        <f>IFERROR(__xludf.DUMMYFUNCTION("GOOGLETRANSLATE(B4504, ""fr"", ""en"")"),"Nostalgia ... Very good fabric, color and cut of the original, everything is there to return to childhood with this famous army bag")</f>
        <v>Nostalgia ... Very good fabric, color and cut of the original, everything is there to return to childhood with this famous army bag</v>
      </c>
    </row>
    <row r="4505">
      <c r="A4505" s="1">
        <v>4.0</v>
      </c>
      <c r="B4505" s="1" t="s">
        <v>4452</v>
      </c>
      <c r="C4505" t="str">
        <f>IFERROR(__xludf.DUMMYFUNCTION("GOOGLETRANSLATE(B4505, ""fr"", ""en"")"),"Excellent mechanical watch shows purchased there are almost 1 year and I wear almost every day. Good power reserve. Nevertheless, it loses 2 to 3 minutes on a quarter. In addition it requires maintenance in the watch at least once every 3 years ...")</f>
        <v>Excellent mechanical watch shows purchased there are almost 1 year and I wear almost every day. Good power reserve. Nevertheless, it loses 2 to 3 minutes on a quarter. In addition it requires maintenance in the watch at least once every 3 years ...</v>
      </c>
    </row>
    <row r="4506">
      <c r="A4506" s="1">
        <v>5.0</v>
      </c>
      <c r="B4506" s="1" t="s">
        <v>4453</v>
      </c>
      <c r="C4506" t="str">
        <f>IFERROR(__xludf.DUMMYFUNCTION("GOOGLETRANSLATE(B4506, ""fr"", ""en"")"),"Awesome ! Despite a somewhat large size these timberlands are beautiful! They are lighter than the original and seems really nice once made up!")</f>
        <v>Awesome ! Despite a somewhat large size these timberlands are beautiful! They are lighter than the original and seems really nice once made up!</v>
      </c>
    </row>
    <row r="4507">
      <c r="A4507" s="1">
        <v>5.0</v>
      </c>
      <c r="B4507" s="1" t="s">
        <v>4454</v>
      </c>
      <c r="C4507" t="str">
        <f>IFERROR(__xludf.DUMMYFUNCTION("GOOGLETRANSLATE(B4507, ""fr"", ""en"")"),"perfect Hello, I received it quickly, and it's great! Frankly this is the third object I bought Klim brand (PC keyboard, headphones and earphones pc) I am very happy with this brand is the affordable, quality, and it's French). advice do not hesitate !!!")</f>
        <v>perfect Hello, I received it quickly, and it's great! Frankly this is the third object I bought Klim brand (PC keyboard, headphones and earphones pc) I am very happy with this brand is the affordable, quality, and it's French). advice do not hesitate !!!</v>
      </c>
    </row>
    <row r="4508">
      <c r="A4508" s="1">
        <v>5.0</v>
      </c>
      <c r="B4508" s="1" t="s">
        <v>4455</v>
      </c>
      <c r="C4508" t="str">
        <f>IFERROR(__xludf.DUMMYFUNCTION("GOOGLETRANSLATE(B4508, ""fr"", ""en"")"),"Excellent! This microphone is perfect, an entry that has everything a great for me. The quality / price is really great, no complaints. The spider absorbs shock and vibration, and pop filter is just niquel. To recommend with eyes closed !")</f>
        <v>Excellent! This microphone is perfect, an entry that has everything a great for me. The quality / price is really great, no complaints. The spider absorbs shock and vibration, and pop filter is just niquel. To recommend with eyes closed !</v>
      </c>
    </row>
    <row r="4509">
      <c r="A4509" s="1">
        <v>5.0</v>
      </c>
      <c r="B4509" s="1" t="s">
        <v>4456</v>
      </c>
      <c r="C4509" t="str">
        <f>IFERROR(__xludf.DUMMYFUNCTION("GOOGLETRANSLATE(B4509, ""fr"", ""en"")"),"Cheap and effective The cushion can be used on the back, stomach, legs, neck ... Anyway, very versatile. Very easy since there is only one button for both modes. We have time to enjoy a nice massage before the automatic shutdown to allow cooling. The mass"&amp;"age is not too hard, but just to rely more or less on it (use pillows) to vary the power. For now, the article seems solid. To be confirmed over time. In winter, the cat likes the heating function and tries to stick on ... In short, a purchase validated b"&amp;"y the whole family.")</f>
        <v>Cheap and effective The cushion can be used on the back, stomach, legs, neck ... Anyway, very versatile. Very easy since there is only one button for both modes. We have time to enjoy a nice massage before the automatic shutdown to allow cooling. The massage is not too hard, but just to rely more or less on it (use pillows) to vary the power. For now, the article seems solid. To be confirmed over time. In winter, the cat likes the heating function and tries to stick on ... In short, a purchase validated by the whole family.</v>
      </c>
    </row>
    <row r="4510">
      <c r="A4510" s="1">
        <v>5.0</v>
      </c>
      <c r="B4510" s="1" t="s">
        <v>4457</v>
      </c>
      <c r="C4510" t="str">
        <f>IFERROR(__xludf.DUMMYFUNCTION("GOOGLETRANSLATE(B4510, ""fr"", ""en"")"),"beautiful moose product")</f>
        <v>beautiful moose product</v>
      </c>
    </row>
    <row r="4511">
      <c r="A4511" s="1">
        <v>5.0</v>
      </c>
      <c r="B4511" s="1" t="s">
        <v>4458</v>
      </c>
      <c r="C4511" t="str">
        <f>IFERROR(__xludf.DUMMYFUNCTION("GOOGLETRANSLATE(B4511, ""fr"", ""en"")"),"Comfortable Faithful to the model years 80🌞")</f>
        <v>Comfortable Faithful to the model years 80🌞</v>
      </c>
    </row>
    <row r="4512">
      <c r="A4512" s="1">
        <v>5.0</v>
      </c>
      <c r="B4512" s="1" t="s">
        <v>4459</v>
      </c>
      <c r="C4512" t="str">
        <f>IFERROR(__xludf.DUMMYFUNCTION("GOOGLETRANSLATE(B4512, ""fr"", ""en"")"),"No complaints ! Perfect ! Perfect for what I wanted. Super summer shoes, which it cleans very easily. Finally they are very strong, you can do anything with.")</f>
        <v>No complaints ! Perfect ! Perfect for what I wanted. Super summer shoes, which it cleans very easily. Finally they are very strong, you can do anything with.</v>
      </c>
    </row>
    <row r="4513">
      <c r="A4513" s="1">
        <v>5.0</v>
      </c>
      <c r="B4513" s="1" t="s">
        <v>4460</v>
      </c>
      <c r="C4513" t="str">
        <f>IFERROR(__xludf.DUMMYFUNCTION("GOOGLETRANSLATE(B4513, ""fr"", ""en"")"),"Perfect I chose the one size bigger pr able to wear the stroke of stockinets, I could almost have me not to, they carve really perfect bien.colori, inner sole leather pr comfort (and not to stain white pr feet ). AVC delivered two pairs of shoelaces, a co"&amp;"lor of the shoes and contrasting. Nothing to say, I got exactly what I expected.")</f>
        <v>Perfect I chose the one size bigger pr able to wear the stroke of stockinets, I could almost have me not to, they carve really perfect bien.colori, inner sole leather pr comfort (and not to stain white pr feet ). AVC delivered two pairs of shoelaces, a color of the shoes and contrasting. Nothing to say, I got exactly what I expected.</v>
      </c>
    </row>
    <row r="4514">
      <c r="A4514" s="1">
        <v>5.0</v>
      </c>
      <c r="B4514" s="1" t="s">
        <v>4461</v>
      </c>
      <c r="C4514" t="str">
        <f>IFERROR(__xludf.DUMMYFUNCTION("GOOGLETRANSLATE(B4514, ""fr"", ""en"")"),"Super I who sought everywhere these valves. I finally find !!!! Product according to the description")</f>
        <v>Super I who sought everywhere these valves. I finally find !!!! Product according to the description</v>
      </c>
    </row>
    <row r="4515">
      <c r="A4515" s="1">
        <v>5.0</v>
      </c>
      <c r="B4515" s="1" t="s">
        <v>4462</v>
      </c>
      <c r="C4515" t="str">
        <f>IFERROR(__xludf.DUMMYFUNCTION("GOOGLETRANSLATE(B4515, ""fr"", ""en"")"),"A good product Impec")</f>
        <v>A good product Impec</v>
      </c>
    </row>
    <row r="4516">
      <c r="A4516" s="1">
        <v>5.0</v>
      </c>
      <c r="B4516" s="1" t="s">
        <v>4463</v>
      </c>
      <c r="C4516" t="str">
        <f>IFERROR(__xludf.DUMMYFUNCTION("GOOGLETRANSLATE(B4516, ""fr"", ""en"")"),"Good product Súper SAC. Nothing to say except perhaps lack pockets ...")</f>
        <v>Good product Súper SAC. Nothing to say except perhaps lack pockets ...</v>
      </c>
    </row>
    <row r="4517">
      <c r="A4517" s="1">
        <v>5.0</v>
      </c>
      <c r="B4517" s="1" t="s">
        <v>4464</v>
      </c>
      <c r="C4517" t="str">
        <f>IFERROR(__xludf.DUMMYFUNCTION("GOOGLETRANSLATE(B4517, ""fr"", ""en"")"),"Shoes at the top carve well, stylish and go with everything. Warm and comfortable, with a pleasant fragrance")</f>
        <v>Shoes at the top carve well, stylish and go with everything. Warm and comfortable, with a pleasant fragrance</v>
      </c>
    </row>
    <row r="4518">
      <c r="A4518" s="1">
        <v>5.0</v>
      </c>
      <c r="B4518" s="1" t="s">
        <v>4465</v>
      </c>
      <c r="C4518" t="str">
        <f>IFERROR(__xludf.DUMMYFUNCTION("GOOGLETRANSLATE(B4518, ""fr"", ""en"")"),"ok good product focus right size")</f>
        <v>ok good product focus right size</v>
      </c>
    </row>
    <row r="4519">
      <c r="A4519" s="1">
        <v>5.0</v>
      </c>
      <c r="B4519" s="1" t="s">
        <v>4466</v>
      </c>
      <c r="C4519" t="str">
        <f>IFERROR(__xludf.DUMMYFUNCTION("GOOGLETRANSLATE(B4519, ""fr"", ""en"")"),"Okay Watch superb. Corresponding to the photo and description!")</f>
        <v>Okay Watch superb. Corresponding to the photo and description!</v>
      </c>
    </row>
    <row r="4520">
      <c r="A4520" s="1">
        <v>5.0</v>
      </c>
      <c r="B4520" s="1" t="s">
        <v>4467</v>
      </c>
      <c r="C4520" t="str">
        <f>IFERROR(__xludf.DUMMYFUNCTION("GOOGLETRANSLATE(B4520, ""fr"", ""en"")"),"Bracelet I received the bracelet, I thank you!")</f>
        <v>Bracelet I received the bracelet, I thank you!</v>
      </c>
    </row>
    <row r="4521">
      <c r="A4521" s="1">
        <v>2.0</v>
      </c>
      <c r="B4521" s="1" t="s">
        <v>4468</v>
      </c>
      <c r="C4521" t="str">
        <f>IFERROR(__xludf.DUMMYFUNCTION("GOOGLETRANSLATE(B4521, ""fr"", ""en"")"),"disappointed by the product I did not like this product because of its quality, the leaves are not static like the ones I used to use, which does not properly maintain multiple elements on the same sheet and suddenly everything gliding, I recommend this o"&amp;"nly for the simple lamination sheet A4 only")</f>
        <v>disappointed by the product I did not like this product because of its quality, the leaves are not static like the ones I used to use, which does not properly maintain multiple elements on the same sheet and suddenly everything gliding, I recommend this only for the simple lamination sheet A4 only</v>
      </c>
    </row>
    <row r="4522">
      <c r="A4522" s="1">
        <v>1.0</v>
      </c>
      <c r="B4522" s="1" t="s">
        <v>4469</v>
      </c>
      <c r="C4522" t="str">
        <f>IFERROR(__xludf.DUMMYFUNCTION("GOOGLETRANSLATE(B4522, ""fr"", ""en"")"),"Really bad quality!!! I wore these sneakers 15 days ago and are already torn on the sides, I am very disappointed ... especially since I have never had any problems with the Amazon products")</f>
        <v>Really bad quality!!! I wore these sneakers 15 days ago and are already torn on the sides, I am very disappointed ... especially since I have never had any problems with the Amazon products</v>
      </c>
    </row>
    <row r="4523">
      <c r="A4523" s="1">
        <v>1.0</v>
      </c>
      <c r="B4523" s="1" t="s">
        <v>4470</v>
      </c>
      <c r="C4523" t="str">
        <f>IFERROR(__xludf.DUMMYFUNCTION("GOOGLETRANSLATE(B4523, ""fr"", ""en"")"),"It is too much too big for un.39 impossible to exchange the seller does not respond for at moins.10 days, yes I am your top because it is really beautiful and I do not just wear them.")</f>
        <v>It is too much too big for un.39 impossible to exchange the seller does not respond for at moins.10 days, yes I am your top because it is really beautiful and I do not just wear them.</v>
      </c>
    </row>
    <row r="4524">
      <c r="A4524" s="1">
        <v>3.0</v>
      </c>
      <c r="B4524" s="1" t="s">
        <v>4471</v>
      </c>
      <c r="C4524" t="str">
        <f>IFERROR(__xludf.DUMMYFUNCTION("GOOGLETRANSLATE(B4524, ""fr"", ""en"")"),"magic eraser I would have thought that they would have held longer at the end of a cleaning they begin to soften this damage")</f>
        <v>magic eraser I would have thought that they would have held longer at the end of a cleaning they begin to soften this damage</v>
      </c>
    </row>
    <row r="4525">
      <c r="A4525" s="1">
        <v>3.0</v>
      </c>
      <c r="B4525" s="1" t="s">
        <v>4472</v>
      </c>
      <c r="C4525" t="str">
        <f>IFERROR(__xludf.DUMMYFUNCTION("GOOGLETRANSLATE(B4525, ""fr"", ""en"")"),"A little weakling as her even with the additional power I expected sth more powerful, especially with the additional power. There must be ways to improve it, but I prefer the blue Yeti clearly bought on Amazon, which is impeccable!")</f>
        <v>A little weakling as her even with the additional power I expected sth more powerful, especially with the additional power. There must be ways to improve it, but I prefer the blue Yeti clearly bought on Amazon, which is impeccable!</v>
      </c>
    </row>
    <row r="4526">
      <c r="A4526" s="1">
        <v>4.0</v>
      </c>
      <c r="B4526" s="1" t="s">
        <v>4473</v>
      </c>
      <c r="C4526" t="str">
        <f>IFERROR(__xludf.DUMMYFUNCTION("GOOGLETRANSLATE(B4526, ""fr"", ""en"")"),"Good product small latencies anyway, but it's still reasonable for the price, I so I used valid")</f>
        <v>Good product small latencies anyway, but it's still reasonable for the price, I so I used valid</v>
      </c>
    </row>
    <row r="4527">
      <c r="A4527" s="1">
        <v>4.0</v>
      </c>
      <c r="B4527" s="1" t="s">
        <v>4474</v>
      </c>
      <c r="C4527" t="str">
        <f>IFERROR(__xludf.DUMMYFUNCTION("GOOGLETRANSLATE(B4527, ""fr"", ""en"")"),"ideal spring product was produced and adapted for the summer, it will be well in the area go walking and running, even by bicycle, you do not sweat in")</f>
        <v>ideal spring product was produced and adapted for the summer, it will be well in the area go walking and running, even by bicycle, you do not sweat in</v>
      </c>
    </row>
    <row r="4528">
      <c r="A4528" s="1">
        <v>4.0</v>
      </c>
      <c r="B4528" s="1" t="s">
        <v>1547</v>
      </c>
      <c r="C4528" t="str">
        <f>IFERROR(__xludf.DUMMYFUNCTION("GOOGLETRANSLATE(B4528, ""fr"", ""en"")"),"Ras Ras")</f>
        <v>Ras Ras</v>
      </c>
    </row>
    <row r="4529">
      <c r="A4529" s="1">
        <v>4.0</v>
      </c>
      <c r="B4529" s="1" t="s">
        <v>4475</v>
      </c>
      <c r="C4529" t="str">
        <f>IFERROR(__xludf.DUMMYFUNCTION("GOOGLETRANSLATE(B4529, ""fr"", ""en"")"),"Perfect. Very well.")</f>
        <v>Perfect. Very well.</v>
      </c>
    </row>
    <row r="4530">
      <c r="A4530" s="1">
        <v>5.0</v>
      </c>
      <c r="B4530" s="1" t="s">
        <v>4476</v>
      </c>
      <c r="C4530" t="str">
        <f>IFERROR(__xludf.DUMMYFUNCTION("GOOGLETRANSLATE(B4530, ""fr"", ""en"")"),"Perfect Perfect for my baby 13 months can finally drink their single bottle. Certainly they put everywhere, but they are proud to be autonomous, and we parents can drink our coffee at the same time they (not the see coffee).")</f>
        <v>Perfect Perfect for my baby 13 months can finally drink their single bottle. Certainly they put everywhere, but they are proud to be autonomous, and we parents can drink our coffee at the same time they (not the see coffee).</v>
      </c>
    </row>
    <row r="4531">
      <c r="A4531" s="1">
        <v>5.0</v>
      </c>
      <c r="B4531" s="1" t="s">
        <v>4477</v>
      </c>
      <c r="C4531" t="str">
        <f>IFERROR(__xludf.DUMMYFUNCTION("GOOGLETRANSLATE(B4531, ""fr"", ""en"")"),"good very comfortable product")</f>
        <v>good very comfortable product</v>
      </c>
    </row>
    <row r="4532">
      <c r="A4532" s="1">
        <v>5.0</v>
      </c>
      <c r="B4532" s="1" t="s">
        <v>4478</v>
      </c>
      <c r="C4532" t="str">
        <f>IFERROR(__xludf.DUMMYFUNCTION("GOOGLETRANSLATE(B4532, ""fr"", ""en"")"),"I love I saw that there is a volume 2 I can not wait to buy. I took for all the little girls I know in different languages. This book is fantastic !!")</f>
        <v>I love I saw that there is a volume 2 I can not wait to buy. I took for all the little girls I know in different languages. This book is fantastic !!</v>
      </c>
    </row>
    <row r="4533">
      <c r="A4533" s="1">
        <v>5.0</v>
      </c>
      <c r="B4533" s="1" t="s">
        <v>4479</v>
      </c>
      <c r="C4533" t="str">
        <f>IFERROR(__xludf.DUMMYFUNCTION("GOOGLETRANSLATE(B4533, ""fr"", ""en"")"),"Original earphones Very good headphones, similar to the original ones that I already had. Delivered in a small box plastic storage Samsung. Delivery a bit long because they come directly from China. There has not against small caps Spare sizes.")</f>
        <v>Original earphones Very good headphones, similar to the original ones that I already had. Delivered in a small box plastic storage Samsung. Delivery a bit long because they come directly from China. There has not against small caps Spare sizes.</v>
      </c>
    </row>
    <row r="4534">
      <c r="A4534" s="1">
        <v>5.0</v>
      </c>
      <c r="B4534" s="1" t="s">
        <v>4480</v>
      </c>
      <c r="C4534" t="str">
        <f>IFERROR(__xludf.DUMMYFUNCTION("GOOGLETRANSLATE(B4534, ""fr"", ""en"")"),"Highly recommend I was looking for an adjustable temperature kettle for my thé.je am satisfied with what she produit.certe beep a little good but nothing to wake everyone either. Just put the water it s stop once the temperature attent c is top and if we "&amp;"let it switches to holding temperature and frankly nothing to dire.pour hot drinks c is idéal.j was due to septic beep but it's not huge either. I highly recommend more level price and function c is a bargain.")</f>
        <v>Highly recommend I was looking for an adjustable temperature kettle for my thé.je am satisfied with what she produit.certe beep a little good but nothing to wake everyone either. Just put the water it s stop once the temperature attent c is top and if we let it switches to holding temperature and frankly nothing to dire.pour hot drinks c is idéal.j was due to septic beep but it's not huge either. I highly recommend more level price and function c is a bargain.</v>
      </c>
    </row>
    <row r="4535">
      <c r="A4535" s="1">
        <v>5.0</v>
      </c>
      <c r="B4535" s="1" t="s">
        <v>4481</v>
      </c>
      <c r="C4535" t="str">
        <f>IFERROR(__xludf.DUMMYFUNCTION("GOOGLETRANSLATE(B4535, ""fr"", ""en"")"),"perfect accordance with the description headphones strictly identical to those lost it's perfect !!")</f>
        <v>perfect accordance with the description headphones strictly identical to those lost it's perfect !!</v>
      </c>
    </row>
    <row r="4536">
      <c r="A4536" s="1">
        <v>5.0</v>
      </c>
      <c r="B4536" s="1" t="s">
        <v>4482</v>
      </c>
      <c r="C4536" t="str">
        <f>IFERROR(__xludf.DUMMYFUNCTION("GOOGLETRANSLATE(B4536, ""fr"", ""en"")"),"Brilliant I'm so glad I bought fanny pack. This is the ideal place to keep my essential for travel and occasional walks. It looks good and feels comfortable as a shoulder bag. I will definitely recommend. It was also shipped quickly and packed adequately.")</f>
        <v>Brilliant I'm so glad I bought fanny pack. This is the ideal place to keep my essential for travel and occasional walks. It looks good and feels comfortable as a shoulder bag. I will definitely recommend. It was also shipped quickly and packed adequately.</v>
      </c>
    </row>
    <row r="4537">
      <c r="A4537" s="1">
        <v>5.0</v>
      </c>
      <c r="B4537" s="1" t="s">
        <v>4483</v>
      </c>
      <c r="C4537" t="str">
        <f>IFERROR(__xludf.DUMMYFUNCTION("GOOGLETRANSLATE(B4537, ""fr"", ""en"")"),"Great! I love it!")</f>
        <v>Great! I love it!</v>
      </c>
    </row>
    <row r="4538">
      <c r="A4538" s="1">
        <v>5.0</v>
      </c>
      <c r="B4538" s="1" t="s">
        <v>4484</v>
      </c>
      <c r="C4538" t="str">
        <f>IFERROR(__xludf.DUMMYFUNCTION("GOOGLETRANSLATE(B4538, ""fr"", ""en"")"),"Pretty Puma sneakers I test these sneakers in size 37.5. In fact, they perfectly match my size 38. These shoes are beautiful, very feminine, white, very delicately highlighted with pink and gold. The closure, lace is original, with elongated eyelets of me"&amp;"tal pink gold. The laces are wide and appear resistant; they are braided. But we also have a pair of satin laces (which will add elegance and originality). Eventually these lovely shoes will not be used as sports shoes, but stylish fashion accessory. Furt"&amp;"hermore, they are comfortable. Again they carve great.")</f>
        <v>Pretty Puma sneakers I test these sneakers in size 37.5. In fact, they perfectly match my size 38. These shoes are beautiful, very feminine, white, very delicately highlighted with pink and gold. The closure, lace is original, with elongated eyelets of metal pink gold. The laces are wide and appear resistant; they are braided. But we also have a pair of satin laces (which will add elegance and originality). Eventually these lovely shoes will not be used as sports shoes, but stylish fashion accessory. Furthermore, they are comfortable. Again they carve great.</v>
      </c>
    </row>
    <row r="4539">
      <c r="A4539" s="1">
        <v>5.0</v>
      </c>
      <c r="B4539" s="1" t="s">
        <v>4485</v>
      </c>
      <c r="C4539" t="str">
        <f>IFERROR(__xludf.DUMMYFUNCTION("GOOGLETRANSLATE(B4539, ""fr"", ""en"")"),"Diffuser imitation candle Beautiful diffuser imitation sparkling candle as true. It is original in its design and the quality is there. It can serve as many essential oil diffuser that assist lamp. I do not regret my purchase. Delivered quickly.")</f>
        <v>Diffuser imitation candle Beautiful diffuser imitation sparkling candle as true. It is original in its design and the quality is there. It can serve as many essential oil diffuser that assist lamp. I do not regret my purchase. Delivered quickly.</v>
      </c>
    </row>
    <row r="4540">
      <c r="A4540" s="1">
        <v>5.0</v>
      </c>
      <c r="B4540" s="1" t="s">
        <v>4486</v>
      </c>
      <c r="C4540" t="str">
        <f>IFERROR(__xludf.DUMMYFUNCTION("GOOGLETRANSLATE(B4540, ""fr"", ""en"")"),"Super cute cougar From what! Awesome. The color is much more beautiful in real life.")</f>
        <v>Super cute cougar From what! Awesome. The color is much more beautiful in real life.</v>
      </c>
    </row>
    <row r="4541">
      <c r="A4541" s="1">
        <v>5.0</v>
      </c>
      <c r="B4541" s="1" t="s">
        <v>4487</v>
      </c>
      <c r="C4541" t="str">
        <f>IFERROR(__xludf.DUMMYFUNCTION("GOOGLETRANSLATE(B4541, ""fr"", ""en"")"),"Beautiful and elegant to buy a small gift to my mom, she was delighted by this bracelet! The colors really give much in real life, it seems resistant, the materials give confidence It is a beautiful object for a gift, think about it for Christmas;)")</f>
        <v>Beautiful and elegant to buy a small gift to my mom, she was delighted by this bracelet! The colors really give much in real life, it seems resistant, the materials give confidence It is a beautiful object for a gift, think about it for Christmas;)</v>
      </c>
    </row>
    <row r="4542">
      <c r="A4542" s="1">
        <v>5.0</v>
      </c>
      <c r="B4542" s="1" t="s">
        <v>4488</v>
      </c>
      <c r="C4542" t="str">
        <f>IFERROR(__xludf.DUMMYFUNCTION("GOOGLETRANSLATE(B4542, ""fr"", ""en"")"),"Very good quality for its price Noise reduction works well except with certain frequencies (in a train, you hardly hear over the road noise but you hear the hiss of the inverter) but I think the problem is the same with all such devices, they can not coun"&amp;"ter all frequencies ... sound like very much, it is hot, low purr without being too aggressive, the midrange and treble are clear. I therefore recommend to its value. I just wish a on / off switch as it must wait until the headset goes into standby.")</f>
        <v>Very good quality for its price Noise reduction works well except with certain frequencies (in a train, you hardly hear over the road noise but you hear the hiss of the inverter) but I think the problem is the same with all such devices, they can not counter all frequencies ... sound like very much, it is hot, low purr without being too aggressive, the midrange and treble are clear. I therefore recommend to its value. I just wish a on / off switch as it must wait until the headset goes into standby.</v>
      </c>
    </row>
    <row r="4543">
      <c r="A4543" s="1">
        <v>5.0</v>
      </c>
      <c r="B4543" s="1" t="s">
        <v>4489</v>
      </c>
      <c r="C4543" t="str">
        <f>IFERROR(__xludf.DUMMYFUNCTION("GOOGLETRANSLATE(B4543, ""fr"", ""en"")"),"Cover Fabric sofa seemed a little late, but ultimately very resistant, I have two small children 5 climbing above 2 teenagers of 17 and 16 who bask above and 5 cats squatting regularly, the tissue does not move, even washing. Very good")</f>
        <v>Cover Fabric sofa seemed a little late, but ultimately very resistant, I have two small children 5 climbing above 2 teenagers of 17 and 16 who bask above and 5 cats squatting regularly, the tissue does not move, even washing. Very good</v>
      </c>
    </row>
    <row r="4544">
      <c r="A4544" s="1">
        <v>5.0</v>
      </c>
      <c r="B4544" s="1" t="s">
        <v>4490</v>
      </c>
      <c r="C4544" t="str">
        <f>IFERROR(__xludf.DUMMYFUNCTION("GOOGLETRANSLATE(B4544, ""fr"", ""en"")"),"Perfect for two mugs Very happy with my purchase. It takes up little space on the worktop and quickly heats. nice design")</f>
        <v>Perfect for two mugs Very happy with my purchase. It takes up little space on the worktop and quickly heats. nice design</v>
      </c>
    </row>
    <row r="4545">
      <c r="A4545" s="1">
        <v>5.0</v>
      </c>
      <c r="B4545" s="1" t="s">
        <v>4491</v>
      </c>
      <c r="C4545" t="str">
        <f>IFERROR(__xludf.DUMMYFUNCTION("GOOGLETRANSLATE(B4545, ""fr"", ""en"")"),"The electric massage This is a nice massage device to massage the head. Operation is simple, it is light and easy to handle. Good value, Nice to purchase.")</f>
        <v>The electric massage This is a nice massage device to massage the head. Operation is simple, it is light and easy to handle. Good value, Nice to purchase.</v>
      </c>
    </row>
    <row r="4546">
      <c r="A4546" s="1">
        <v>2.0</v>
      </c>
      <c r="B4546" s="1" t="s">
        <v>4492</v>
      </c>
      <c r="C4546" t="str">
        <f>IFERROR(__xludf.DUMMYFUNCTION("GOOGLETRANSLATE(B4546, ""fr"", ""en"")"),"nil nil")</f>
        <v>nil nil</v>
      </c>
    </row>
    <row r="4547">
      <c r="A4547" s="1">
        <v>1.0</v>
      </c>
      <c r="B4547" s="1" t="s">
        <v>4493</v>
      </c>
      <c r="C4547" t="str">
        <f>IFERROR(__xludf.DUMMYFUNCTION("GOOGLETRANSLATE(B4547, ""fr"", ""en"")"),"Burn pouring (steam) Nice design but I have enough to burn me (bad training) ....")</f>
        <v>Burn pouring (steam) Nice design but I have enough to burn me (bad training) ....</v>
      </c>
    </row>
    <row r="4548">
      <c r="A4548" s="1">
        <v>1.0</v>
      </c>
      <c r="B4548" s="1" t="s">
        <v>4494</v>
      </c>
      <c r="C4548" t="str">
        <f>IFERROR(__xludf.DUMMYFUNCTION("GOOGLETRANSLATE(B4548, ""fr"", ""en"")"),"Bad A fragrance truly sickening")</f>
        <v>Bad A fragrance truly sickening</v>
      </c>
    </row>
    <row r="4549">
      <c r="A4549" s="1">
        <v>3.0</v>
      </c>
      <c r="B4549" s="1" t="s">
        <v>4495</v>
      </c>
      <c r="C4549" t="str">
        <f>IFERROR(__xludf.DUMMYFUNCTION("GOOGLETRANSLATE(B4549, ""fr"", ""en"")"),"Loss of Grosse loss of")</f>
        <v>Loss of Grosse loss of</v>
      </c>
    </row>
    <row r="4550">
      <c r="A4550" s="1">
        <v>4.0</v>
      </c>
      <c r="B4550" s="1" t="s">
        <v>4496</v>
      </c>
      <c r="C4550" t="str">
        <f>IFERROR(__xludf.DUMMYFUNCTION("GOOGLETRANSLATE(B4550, ""fr"", ""en"")"),"Perfect but ... The more this Bola pregnancy is the pen that comes with it. It gives a touch of originality. But suddenly, the ringing of the bell is thereby hidden. We hear more the clash between Bola and pen, so I ended up leaving only the bell that pro"&amp;"duces a light and pleasant sound. The chain is long enough for the bola comes to the navel. Perfect.")</f>
        <v>Perfect but ... The more this Bola pregnancy is the pen that comes with it. It gives a touch of originality. But suddenly, the ringing of the bell is thereby hidden. We hear more the clash between Bola and pen, so I ended up leaving only the bell that produces a light and pleasant sound. The chain is long enough for the bola comes to the navel. Perfect.</v>
      </c>
    </row>
    <row r="4551">
      <c r="A4551" s="1">
        <v>4.0</v>
      </c>
      <c r="B4551" s="1" t="s">
        <v>4497</v>
      </c>
      <c r="C4551" t="str">
        <f>IFERROR(__xludf.DUMMYFUNCTION("GOOGLETRANSLATE(B4551, ""fr"", ""en"")"),"Slippers Slippers open nice and comfortable. Fit the description, purchase satisfactory. New but seem good.")</f>
        <v>Slippers Slippers open nice and comfortable. Fit the description, purchase satisfactory. New but seem good.</v>
      </c>
    </row>
    <row r="4552">
      <c r="A4552" s="1">
        <v>4.0</v>
      </c>
      <c r="B4552" s="1" t="s">
        <v>4498</v>
      </c>
      <c r="C4552" t="str">
        <f>IFERROR(__xludf.DUMMYFUNCTION("GOOGLETRANSLATE(B4552, ""fr"", ""en"")"),"feet for avoiding blows strong it s feet are very pretty but I have a wide foot and kick hard so I had to return")</f>
        <v>feet for avoiding blows strong it s feet are very pretty but I have a wide foot and kick hard so I had to return</v>
      </c>
    </row>
    <row r="4553">
      <c r="A4553" s="1">
        <v>4.0</v>
      </c>
      <c r="B4553" s="1" t="s">
        <v>4499</v>
      </c>
      <c r="C4553" t="str">
        <f>IFERROR(__xludf.DUMMYFUNCTION("GOOGLETRANSLATE(B4553, ""fr"", ""en"")"),"Although original cartridge, does his job, lasts long. high price but this is the price for a big cartridge so no regrets")</f>
        <v>Although original cartridge, does his job, lasts long. high price but this is the price for a big cartridge so no regrets</v>
      </c>
    </row>
    <row r="4554">
      <c r="A4554" s="1">
        <v>4.0</v>
      </c>
      <c r="B4554" s="1" t="s">
        <v>4500</v>
      </c>
      <c r="C4554" t="str">
        <f>IFERROR(__xludf.DUMMYFUNCTION("GOOGLETRANSLATE(B4554, ""fr"", ""en"")"),"Very good These are fairly thick cardboard folders. Nothing special to say ... without worries suitable for classification of A4 paper.")</f>
        <v>Very good These are fairly thick cardboard folders. Nothing special to say ... without worries suitable for classification of A4 paper.</v>
      </c>
    </row>
    <row r="4555">
      <c r="A4555" s="1">
        <v>5.0</v>
      </c>
      <c r="B4555" s="1" t="s">
        <v>4501</v>
      </c>
      <c r="C4555" t="str">
        <f>IFERROR(__xludf.DUMMYFUNCTION("GOOGLETRANSLATE(B4555, ""fr"", ""en"")"),"Shoes sneakers Shoes lovely and very comfortable. Has nothing to envy of big brands. Very pleased with the choice and even the color is great. recommended :)")</f>
        <v>Shoes sneakers Shoes lovely and very comfortable. Has nothing to envy of big brands. Very pleased with the choice and even the color is great. recommended :)</v>
      </c>
    </row>
    <row r="4556">
      <c r="A4556" s="1">
        <v>5.0</v>
      </c>
      <c r="B4556" s="1" t="s">
        <v>4502</v>
      </c>
      <c r="C4556" t="str">
        <f>IFERROR(__xludf.DUMMYFUNCTION("GOOGLETRANSLATE(B4556, ""fr"", ""en"")"),"Product not found ds stores you think ????")</f>
        <v>Product not found ds stores you think ????</v>
      </c>
    </row>
    <row r="4557">
      <c r="A4557" s="1">
        <v>5.0</v>
      </c>
      <c r="B4557" s="1" t="s">
        <v>4503</v>
      </c>
      <c r="C4557" t="str">
        <f>IFERROR(__xludf.DUMMYFUNCTION("GOOGLETRANSLATE(B4557, ""fr"", ""en"")"),"perfect no complaints, top section comes with several smaller mounting strips in case it breaks, leather nickel seems perfectly fits the watch great product.")</f>
        <v>perfect no complaints, top section comes with several smaller mounting strips in case it breaks, leather nickel seems perfectly fits the watch great product.</v>
      </c>
    </row>
    <row r="4558">
      <c r="A4558" s="1">
        <v>5.0</v>
      </c>
      <c r="B4558" s="1" t="s">
        <v>4504</v>
      </c>
      <c r="C4558" t="str">
        <f>IFERROR(__xludf.DUMMYFUNCTION("GOOGLETRANSLATE(B4558, ""fr"", ""en"")"),"Excellent Fast delivery, go to my sister on the weekends, bring it to him in the past! There is no noise when we boil water, and it's very fast. The items are the same as described, very satisfied!")</f>
        <v>Excellent Fast delivery, go to my sister on the weekends, bring it to him in the past! There is no noise when we boil water, and it's very fast. The items are the same as described, very satisfied!</v>
      </c>
    </row>
    <row r="4559">
      <c r="A4559" s="1">
        <v>5.0</v>
      </c>
      <c r="B4559" s="1" t="s">
        <v>4505</v>
      </c>
      <c r="C4559" t="str">
        <f>IFERROR(__xludf.DUMMYFUNCTION("GOOGLETRANSLATE(B4559, ""fr"", ""en"")"),"Very satisfied They are exactly like the pictures. Very comfortable to wear, light. Very good value. I walk really well and long.")</f>
        <v>Very satisfied They are exactly like the pictures. Very comfortable to wear, light. Very good value. I walk really well and long.</v>
      </c>
    </row>
    <row r="4560">
      <c r="A4560" s="1">
        <v>5.0</v>
      </c>
      <c r="B4560" s="1" t="s">
        <v>4506</v>
      </c>
      <c r="C4560" t="str">
        <f>IFERROR(__xludf.DUMMYFUNCTION("GOOGLETRANSLATE(B4560, ""fr"", ""en"")"),"Satisfied Pink look is very pretty and fashionable, the daughter of my friend like him, very suitable for girls.")</f>
        <v>Satisfied Pink look is very pretty and fashionable, the daughter of my friend like him, very suitable for girls.</v>
      </c>
    </row>
    <row r="4561">
      <c r="A4561" s="1">
        <v>5.0</v>
      </c>
      <c r="B4561" s="1" t="s">
        <v>4507</v>
      </c>
      <c r="C4561" t="str">
        <f>IFERROR(__xludf.DUMMYFUNCTION("GOOGLETRANSLATE(B4561, ""fr"", ""en"")"),"Perfect for the price I have a heavy micro overall (bird um1) and he adapts and fits perfectly. Manageable overall and very stable.")</f>
        <v>Perfect for the price I have a heavy micro overall (bird um1) and he adapts and fits perfectly. Manageable overall and very stable.</v>
      </c>
    </row>
    <row r="4562">
      <c r="A4562" s="1">
        <v>5.0</v>
      </c>
      <c r="B4562" s="1" t="s">
        <v>4508</v>
      </c>
      <c r="C4562" t="str">
        <f>IFERROR(__xludf.DUMMYFUNCTION("GOOGLETRANSLATE(B4562, ""fr"", ""en"")"),"Super Ideal for cleaning bottles (any brand of baby bottles)")</f>
        <v>Super Ideal for cleaning bottles (any brand of baby bottles)</v>
      </c>
    </row>
    <row r="4563">
      <c r="A4563" s="1">
        <v>5.0</v>
      </c>
      <c r="B4563" s="1" t="s">
        <v>4509</v>
      </c>
      <c r="C4563" t="str">
        <f>IFERROR(__xludf.DUMMYFUNCTION("GOOGLETRANSLATE(B4563, ""fr"", ""en"")"),"Top.Rien wrong cartridge very good. I recommend.")</f>
        <v>Top.Rien wrong cartridge very good. I recommend.</v>
      </c>
    </row>
    <row r="4564">
      <c r="A4564" s="1">
        <v>5.0</v>
      </c>
      <c r="B4564" s="1" t="s">
        <v>4510</v>
      </c>
      <c r="C4564" t="str">
        <f>IFERROR(__xludf.DUMMYFUNCTION("GOOGLETRANSLATE(B4564, ""fr"", ""en"")"),"practical for a small price quickly andwater heater is hot")</f>
        <v>practical for a small price quickly andwater heater is hot</v>
      </c>
    </row>
    <row r="4565">
      <c r="A4565" s="1">
        <v>5.0</v>
      </c>
      <c r="B4565" s="1" t="s">
        <v>4511</v>
      </c>
      <c r="C4565" t="str">
        <f>IFERROR(__xludf.DUMMYFUNCTION("GOOGLETRANSLATE(B4565, ""fr"", ""en"")"),"comfort! My son finally adopted them, in all its forms these socks have all the qualities for a demanding teen.")</f>
        <v>comfort! My son finally adopted them, in all its forms these socks have all the qualities for a demanding teen.</v>
      </c>
    </row>
    <row r="4566">
      <c r="A4566" s="1">
        <v>5.0</v>
      </c>
      <c r="B4566" s="1" t="s">
        <v>4512</v>
      </c>
      <c r="C4566" t="str">
        <f>IFERROR(__xludf.DUMMYFUNCTION("GOOGLETRANSLATE(B4566, ""fr"", ""en"")"),"Very good shoes very nice and comfortable and sends fast")</f>
        <v>Very good shoes very nice and comfortable and sends fast</v>
      </c>
    </row>
    <row r="4567">
      <c r="A4567" s="1">
        <v>5.0</v>
      </c>
      <c r="B4567" s="1" t="s">
        <v>4513</v>
      </c>
      <c r="C4567" t="str">
        <f>IFERROR(__xludf.DUMMYFUNCTION("GOOGLETRANSLATE(B4567, ""fr"", ""en"")"),"I love the color I am used to buy bensimons and I must admit I really love this color. Level size, I always take the one I usually take and I had no surprises.")</f>
        <v>I love the color I am used to buy bensimons and I must admit I really love this color. Level size, I always take the one I usually take and I had no surprises.</v>
      </c>
    </row>
    <row r="4568">
      <c r="A4568" s="1">
        <v>5.0</v>
      </c>
      <c r="B4568" s="1" t="s">
        <v>4514</v>
      </c>
      <c r="C4568" t="str">
        <f>IFERROR(__xludf.DUMMYFUNCTION("GOOGLETRANSLATE(B4568, ""fr"", ""en"")"),"What a very good buy happiness massaging cushion, I have pain in the neck and back and massaging with the cushion is really nice to relieve tension, I also tested the massage while driving, it really is a + after a busy day!")</f>
        <v>What a very good buy happiness massaging cushion, I have pain in the neck and back and massaging with the cushion is really nice to relieve tension, I also tested the massage while driving, it really is a + after a busy day!</v>
      </c>
    </row>
    <row r="4569">
      <c r="A4569" s="1">
        <v>5.0</v>
      </c>
      <c r="B4569" s="1" t="s">
        <v>4515</v>
      </c>
      <c r="C4569" t="str">
        <f>IFERROR(__xludf.DUMMYFUNCTION("GOOGLETRANSLATE(B4569, ""fr"", ""en"")"),"nice little bracelet. Well suited to the wrist, not too heavy I enjoyed the wire and pearl more. Very good idea")</f>
        <v>nice little bracelet. Well suited to the wrist, not too heavy I enjoyed the wire and pearl more. Very good idea</v>
      </c>
    </row>
    <row r="4570">
      <c r="A4570" s="1">
        <v>2.0</v>
      </c>
      <c r="B4570" s="1" t="s">
        <v>4516</v>
      </c>
      <c r="C4570" t="str">
        <f>IFERROR(__xludf.DUMMYFUNCTION("GOOGLETRANSLATE(B4570, ""fr"", ""en"")"),"Photos of the product does not correspond to the proceeds of goods presentation The pictures do not correspond to the product received. In fact I ordered a pair of solid black clapper as shown in the photos and I received them black and white. After verif"&amp;"ication, it appears only the 6 presentation of photos shows a black and white pair while all other photos show a fully black pair. On the other hand, took a size above the usual size, I found the top tap dancing very close and tight. To see over time if i"&amp;"t opens. Do not hesitate to take one size bigger as stated in other reviews.")</f>
        <v>Photos of the product does not correspond to the proceeds of goods presentation The pictures do not correspond to the product received. In fact I ordered a pair of solid black clapper as shown in the photos and I received them black and white. After verification, it appears only the 6 presentation of photos shows a black and white pair while all other photos show a fully black pair. On the other hand, took a size above the usual size, I found the top tap dancing very close and tight. To see over time if it opens. Do not hesitate to take one size bigger as stated in other reviews.</v>
      </c>
    </row>
    <row r="4571">
      <c r="A4571" s="1">
        <v>1.0</v>
      </c>
      <c r="B4571" s="1" t="s">
        <v>4517</v>
      </c>
      <c r="C4571" t="str">
        <f>IFERROR(__xludf.DUMMYFUNCTION("GOOGLETRANSLATE(B4571, ""fr"", ""en"")"),"Check your cartridges .... I bought this reference precaution in April. I wanted to install them today and they are refused by the printer .In fact, the cartridges are 550/551, not 570 / 571.Le external size is identical. Obviously I had not checked at re"&amp;"ception and discarded packaging and documentation. 40 € for lost! Very disappointed (first) of the Amazon service. The moral imperative to check the content reception of your order. Enjoy my misadventure!")</f>
        <v>Check your cartridges .... I bought this reference precaution in April. I wanted to install them today and they are refused by the printer .In fact, the cartridges are 550/551, not 570 / 571.Le external size is identical. Obviously I had not checked at reception and discarded packaging and documentation. 40 € for lost! Very disappointed (first) of the Amazon service. The moral imperative to check the content reception of your order. Enjoy my misadventure!</v>
      </c>
    </row>
    <row r="4572">
      <c r="A4572" s="1">
        <v>3.0</v>
      </c>
      <c r="B4572" s="1" t="s">
        <v>4518</v>
      </c>
      <c r="C4572" t="str">
        <f>IFERROR(__xludf.DUMMYFUNCTION("GOOGLETRANSLATE(B4572, ""fr"", ""en"")"),"A little short, but comfortable a little disappointed with the high bit élatiquée size, I find the size just a little length. Besides, comfort, material very well.")</f>
        <v>A little short, but comfortable a little disappointed with the high bit élatiquée size, I find the size just a little length. Besides, comfort, material very well.</v>
      </c>
    </row>
    <row r="4573">
      <c r="A4573" s="1">
        <v>3.0</v>
      </c>
      <c r="B4573" s="1" t="s">
        <v>4519</v>
      </c>
      <c r="C4573" t="str">
        <f>IFERROR(__xludf.DUMMYFUNCTION("GOOGLETRANSLATE(B4573, ""fr"", ""en"")"),"Insoles not compensated if the size is good but the sole curve is not in line, obliged to add an insole for a regularity of the curve")</f>
        <v>Insoles not compensated if the size is good but the sole curve is not in line, obliged to add an insole for a regularity of the curve</v>
      </c>
    </row>
    <row r="4574">
      <c r="A4574" s="1">
        <v>4.0</v>
      </c>
      <c r="B4574" s="1" t="s">
        <v>4520</v>
      </c>
      <c r="C4574" t="str">
        <f>IFERROR(__xludf.DUMMYFUNCTION("GOOGLETRANSLATE(B4574, ""fr"", ""en"")"),"LED desk lamp Cool design, variable temperature and intensity which adapts the light according to its needs. A star removed because for LED I find it very hot after a few minutes. Fast delivery and careful.")</f>
        <v>LED desk lamp Cool design, variable temperature and intensity which adapts the light according to its needs. A star removed because for LED I find it very hot after a few minutes. Fast delivery and careful.</v>
      </c>
    </row>
    <row r="4575">
      <c r="A4575" s="1">
        <v>4.0</v>
      </c>
      <c r="B4575" s="1" t="s">
        <v>4521</v>
      </c>
      <c r="C4575" t="str">
        <f>IFERROR(__xludf.DUMMYFUNCTION("GOOGLETRANSLATE(B4575, ""fr"", ""en"")"),"bought a gift for gift which was appreciated by the person who received it. sympath some experience to do to pass the time and s' fun")</f>
        <v>bought a gift for gift which was appreciated by the person who received it. sympath some experience to do to pass the time and s' fun</v>
      </c>
    </row>
    <row r="4576">
      <c r="A4576" s="1">
        <v>4.0</v>
      </c>
      <c r="B4576" s="1" t="s">
        <v>4522</v>
      </c>
      <c r="C4576" t="str">
        <f>IFERROR(__xludf.DUMMYFUNCTION("GOOGLETRANSLATE(B4576, ""fr"", ""en"")"),"Good product ! The size is a bit small, I advise you to take one size bigger than yours. If the material is comfortable and enjoyable. I recommend this product, and I think the resume in a different color. I just found the length of the string before a bi"&amp;"t long. In summary, I do not regret my purchase.")</f>
        <v>Good product ! The size is a bit small, I advise you to take one size bigger than yours. If the material is comfortable and enjoyable. I recommend this product, and I think the resume in a different color. I just found the length of the string before a bit long. In summary, I do not regret my purchase.</v>
      </c>
    </row>
    <row r="4577">
      <c r="A4577" s="1">
        <v>4.0</v>
      </c>
      <c r="B4577" s="1" t="s">
        <v>4523</v>
      </c>
      <c r="C4577" t="str">
        <f>IFERROR(__xludf.DUMMYFUNCTION("GOOGLETRANSLATE(B4577, ""fr"", ""en"")"),"Classic Ai had to return 41 because shoes too narrow. Too bad it is available in 42 more!")</f>
        <v>Classic Ai had to return 41 because shoes too narrow. Too bad it is available in 42 more!</v>
      </c>
    </row>
    <row r="4578">
      <c r="A4578" s="1">
        <v>5.0</v>
      </c>
      <c r="B4578" s="1" t="s">
        <v>4524</v>
      </c>
      <c r="C4578" t="str">
        <f>IFERROR(__xludf.DUMMYFUNCTION("GOOGLETRANSLATE(B4578, ""fr"", ""en"")"),"Easy to use and effective 👍 Grandma no longer leaves her and this is a way to keep him good traffic. While Agee of soon 97 years, she understood the simple operation of use. It was my fear but it is good. She did not miss the small daily session.")</f>
        <v>Easy to use and effective 👍 Grandma no longer leaves her and this is a way to keep him good traffic. While Agee of soon 97 years, she understood the simple operation of use. It was my fear but it is good. She did not miss the small daily session.</v>
      </c>
    </row>
    <row r="4579">
      <c r="A4579" s="1">
        <v>5.0</v>
      </c>
      <c r="B4579" s="1" t="s">
        <v>4525</v>
      </c>
      <c r="C4579" t="str">
        <f>IFERROR(__xludf.DUMMYFUNCTION("GOOGLETRANSLATE(B4579, ""fr"", ""en"")"),"👍🏾 💪🏾")</f>
        <v>👍🏾 💪🏾</v>
      </c>
    </row>
    <row r="4580">
      <c r="A4580" s="1">
        <v>5.0</v>
      </c>
      <c r="B4580" s="1" t="s">
        <v>4526</v>
      </c>
      <c r="C4580" t="str">
        <f>IFERROR(__xludf.DUMMYFUNCTION("GOOGLETRANSLATE(B4580, ""fr"", ""en"")"),"Very good size appropriate, quality equal to Puma.")</f>
        <v>Very good size appropriate, quality equal to Puma.</v>
      </c>
    </row>
    <row r="4581">
      <c r="A4581" s="1">
        <v>5.0</v>
      </c>
      <c r="B4581" s="1" t="s">
        <v>4527</v>
      </c>
      <c r="C4581" t="str">
        <f>IFERROR(__xludf.DUMMYFUNCTION("GOOGLETRANSLATE(B4581, ""fr"", ""en"")"),"Super Ordered for my husband during a flash sale, very pretty. Size as planned. For the price (27 €) is nothing to say.")</f>
        <v>Super Ordered for my husband during a flash sale, very pretty. Size as planned. For the price (27 €) is nothing to say.</v>
      </c>
    </row>
    <row r="4582">
      <c r="A4582" s="1">
        <v>5.0</v>
      </c>
      <c r="B4582" s="1" t="s">
        <v>4528</v>
      </c>
      <c r="C4582" t="str">
        <f>IFERROR(__xludf.DUMMYFUNCTION("GOOGLETRANSLATE(B4582, ""fr"", ""en"")"),"Vive noel Perfect for early child CP! So I buy the rest of the collection. For the price, you should take advantage!")</f>
        <v>Vive noel Perfect for early child CP! So I buy the rest of the collection. For the price, you should take advantage!</v>
      </c>
    </row>
    <row r="4583">
      <c r="A4583" s="1">
        <v>5.0</v>
      </c>
      <c r="B4583" s="1" t="s">
        <v>4529</v>
      </c>
      <c r="C4583" t="str">
        <f>IFERROR(__xludf.DUMMYFUNCTION("GOOGLETRANSLATE(B4583, ""fr"", ""en"")"),"Impeccable I read the reviews and so I took a size smaller running backs, they nickel fit me. I was scared because in a comment the person received the fabric instead of leather PHEW they were beautiful and good leather. I have received 2 days before the "&amp;"scheduled date now only take them for them to Anjoue Vintage 😊")</f>
        <v>Impeccable I read the reviews and so I took a size smaller running backs, they nickel fit me. I was scared because in a comment the person received the fabric instead of leather PHEW they were beautiful and good leather. I have received 2 days before the scheduled date now only take them for them to Anjoue Vintage 😊</v>
      </c>
    </row>
    <row r="4584">
      <c r="A4584" s="1">
        <v>5.0</v>
      </c>
      <c r="B4584" s="1" t="s">
        <v>4530</v>
      </c>
      <c r="C4584" t="str">
        <f>IFERROR(__xludf.DUMMYFUNCTION("GOOGLETRANSLATE(B4584, ""fr"", ""en"")"),"Delighted childhood bear comfortable shoes and finished well. Delivered in good condition. I think back to my years in the country. The shoes are back in fashion. Cool")</f>
        <v>Delighted childhood bear comfortable shoes and finished well. Delivered in good condition. I think back to my years in the country. The shoes are back in fashion. Cool</v>
      </c>
    </row>
    <row r="4585">
      <c r="A4585" s="1">
        <v>5.0</v>
      </c>
      <c r="B4585" s="1" t="s">
        <v>4531</v>
      </c>
      <c r="C4585" t="str">
        <f>IFERROR(__xludf.DUMMYFUNCTION("GOOGLETRANSLATE(B4585, ""fr"", ""en"")"),"Comfortable and powerful I am very happy, simpler use and well described in the instruction manual. Now e jne know if he can use long without problem, but I recommend it as same")</f>
        <v>Comfortable and powerful I am very happy, simpler use and well described in the instruction manual. Now e jne know if he can use long without problem, but I recommend it as same</v>
      </c>
    </row>
    <row r="4586">
      <c r="A4586" s="1">
        <v>5.0</v>
      </c>
      <c r="B4586" s="1" t="s">
        <v>4532</v>
      </c>
      <c r="C4586" t="str">
        <f>IFERROR(__xludf.DUMMYFUNCTION("GOOGLETRANSLATE(B4586, ""fr"", ""en"")"),"Quality and aesthetics! This is a set of 3 glass bottles Dodie. Capacity: two bottles of 270 ml. A bottle of 150 ml. They are all three broad glue. They are all three anti colic. They are all three nipple flat. Guaranteed without BPA and BPS. However, the"&amp;"y have different speed the highest volume of 270 ml those have a flow power 2. The bottle of 150 ml at a rate of 1. Aesthetically they are very successful. They represent three capitals: New York, Paris, London. I am no stranger to this type of product, I"&amp;" never had any problems. The quality is there, the fact whether glass is very significant especially for the dishwasher and the life of bottles. Good value for money. I hope this review helps, if you have any questions feel free")</f>
        <v>Quality and aesthetics! This is a set of 3 glass bottles Dodie. Capacity: two bottles of 270 ml. A bottle of 150 ml. They are all three broad glue. They are all three anti colic. They are all three nipple flat. Guaranteed without BPA and BPS. However, they have different speed the highest volume of 270 ml those have a flow power 2. The bottle of 150 ml at a rate of 1. Aesthetically they are very successful. They represent three capitals: New York, Paris, London. I am no stranger to this type of product, I never had any problems. The quality is there, the fact whether glass is very significant especially for the dishwasher and the life of bottles. Good value for money. I hope this review helps, if you have any questions feel free</v>
      </c>
    </row>
    <row r="4587">
      <c r="A4587" s="1">
        <v>5.0</v>
      </c>
      <c r="B4587" s="1" t="s">
        <v>4533</v>
      </c>
      <c r="C4587" t="str">
        <f>IFERROR(__xludf.DUMMYFUNCTION("GOOGLETRANSLATE(B4587, ""fr"", ""en"")"),"Excellent bargain")</f>
        <v>Excellent bargain</v>
      </c>
    </row>
    <row r="4588">
      <c r="A4588" s="1">
        <v>5.0</v>
      </c>
      <c r="B4588" s="1" t="s">
        <v>4534</v>
      </c>
      <c r="C4588" t="str">
        <f>IFERROR(__xludf.DUMMYFUNCTION("GOOGLETRANSLATE(B4588, ""fr"", ""en"")"),"It's relaxing seat seat massage too well, it's really a professional seat very relaxing. easy use with a remote control provided that one can choose at what level of body to be massaged and control its intensity. (Neck, back, buttock) I am pleased with th"&amp;"is purchase. I highly recommend it. Especially after a long work day it relaxes us.")</f>
        <v>It's relaxing seat seat massage too well, it's really a professional seat very relaxing. easy use with a remote control provided that one can choose at what level of body to be massaged and control its intensity. (Neck, back, buttock) I am pleased with this purchase. I highly recommend it. Especially after a long work day it relaxes us.</v>
      </c>
    </row>
    <row r="4589">
      <c r="A4589" s="1">
        <v>5.0</v>
      </c>
      <c r="B4589" s="1" t="s">
        <v>4535</v>
      </c>
      <c r="C4589" t="str">
        <f>IFERROR(__xludf.DUMMYFUNCTION("GOOGLETRANSLATE(B4589, ""fr"", ""en"")"),"Ideal for reading the first readings")</f>
        <v>Ideal for reading the first readings</v>
      </c>
    </row>
    <row r="4590">
      <c r="A4590" s="1">
        <v>5.0</v>
      </c>
      <c r="B4590" s="1" t="s">
        <v>4536</v>
      </c>
      <c r="C4590" t="str">
        <f>IFERROR(__xludf.DUMMYFUNCTION("GOOGLETRANSLATE(B4590, ""fr"", ""en"")"),"Pretty well sweatshirt. Not very thick but all in all, it's hot. I do not regret my purchase. Thank you so much for everything")</f>
        <v>Pretty well sweatshirt. Not very thick but all in all, it's hot. I do not regret my purchase. Thank you so much for everything</v>
      </c>
    </row>
    <row r="4591">
      <c r="A4591" s="1">
        <v>5.0</v>
      </c>
      <c r="B4591" s="1" t="s">
        <v>4537</v>
      </c>
      <c r="C4591" t="str">
        <f>IFERROR(__xludf.DUMMYFUNCTION("GOOGLETRANSLATE(B4591, ""fr"", ""en"")"),"Beautiful Received on time, pretty collar assembly. To see over time if the strings do not rust. I recommend.")</f>
        <v>Beautiful Received on time, pretty collar assembly. To see over time if the strings do not rust. I recommend.</v>
      </c>
    </row>
    <row r="4592">
      <c r="A4592" s="1">
        <v>5.0</v>
      </c>
      <c r="B4592" s="1" t="s">
        <v>4538</v>
      </c>
      <c r="C4592" t="str">
        <f>IFERROR(__xludf.DUMMYFUNCTION("GOOGLETRANSLATE(B4592, ""fr"", ""en"")"),"Fast and correct delivery that sounds like a good product, at least no problem since I use it but I can not guarantee the number of paper that I would print. because the original one has not really held long. (Less than 300 sheets)")</f>
        <v>Fast and correct delivery that sounds like a good product, at least no problem since I use it but I can not guarantee the number of paper that I would print. because the original one has not really held long. (Less than 300 sheets)</v>
      </c>
    </row>
    <row r="4593">
      <c r="A4593" s="1">
        <v>2.0</v>
      </c>
      <c r="B4593" s="1" t="s">
        <v>4539</v>
      </c>
      <c r="C4593" t="str">
        <f>IFERROR(__xludf.DUMMYFUNCTION("GOOGLETRANSLATE(B4593, ""fr"", ""en"")"),"Not for sensitive skin I have what we call a blonde skin. splinters cores are too large and irritate. As against the mixture of oils is very nice")</f>
        <v>Not for sensitive skin I have what we call a blonde skin. splinters cores are too large and irritate. As against the mixture of oils is very nice</v>
      </c>
    </row>
    <row r="4594">
      <c r="A4594" s="1">
        <v>1.0</v>
      </c>
      <c r="B4594" s="1" t="s">
        <v>4540</v>
      </c>
      <c r="C4594" t="str">
        <f>IFERROR(__xludf.DUMMYFUNCTION("GOOGLETRANSLATE(B4594, ""fr"", ""en"")"),"Very nice but not really made for the running. Shoe that is made primarily for ""&amp; nbsp; &amp; nbsp decorate,"" but I would not advise for running too unstable. Perfect size. For the price you can not ask too much either.")</f>
        <v>Very nice but not really made for the running. Shoe that is made primarily for "&amp; nbsp; &amp; nbsp decorate," but I would not advise for running too unstable. Perfect size. For the price you can not ask too much either.</v>
      </c>
    </row>
    <row r="4595">
      <c r="A4595" s="1">
        <v>1.0</v>
      </c>
      <c r="B4595" s="1" t="s">
        <v>4541</v>
      </c>
      <c r="C4595" t="str">
        <f>IFERROR(__xludf.DUMMYFUNCTION("GOOGLETRANSLATE(B4595, ""fr"", ""en"")"),"Do not buy. Scam! It is unacceptable. The article is a copy of a real T-shirt Underground Armor. This is a scam! There's even a spelling error on the label in Spanish")</f>
        <v>Do not buy. Scam! It is unacceptable. The article is a copy of a real T-shirt Underground Armor. This is a scam! There's even a spelling error on the label in Spanish</v>
      </c>
    </row>
    <row r="4596">
      <c r="A4596" s="1">
        <v>3.0</v>
      </c>
      <c r="B4596" s="1" t="s">
        <v>4542</v>
      </c>
      <c r="C4596" t="str">
        <f>IFERROR(__xludf.DUMMYFUNCTION("GOOGLETRANSLATE(B4596, ""fr"", ""en"")"),"exchange time zone without the intervention you look now, you say, I'm late for a particular thing, and then you notice that the display of the day is in another language, and Oscan you and you hand the correct settings, you advance one hour or more! has "&amp;"this concern settings changes quite the time change was winter.")</f>
        <v>exchange time zone without the intervention you look now, you say, I'm late for a particular thing, and then you notice that the display of the day is in another language, and Oscan you and you hand the correct settings, you advance one hour or more! has this concern settings changes quite the time change was winter.</v>
      </c>
    </row>
    <row r="4597">
      <c r="A4597" s="1">
        <v>3.0</v>
      </c>
      <c r="B4597" s="1" t="s">
        <v>4543</v>
      </c>
      <c r="C4597" t="str">
        <f>IFERROR(__xludf.DUMMYFUNCTION("GOOGLETRANSLATE(B4597, ""fr"", ""en"")"),"Take one size above I like the sneakers")</f>
        <v>Take one size above I like the sneakers</v>
      </c>
    </row>
    <row r="4598">
      <c r="A4598" s="1">
        <v>4.0</v>
      </c>
      <c r="B4598" s="1" t="s">
        <v>4544</v>
      </c>
      <c r="C4598" t="str">
        <f>IFERROR(__xludf.DUMMYFUNCTION("GOOGLETRANSLATE(B4598, ""fr"", ""en"")"),"Excellent value Kettle practice with a time of rapid heating and not too much noise. The color burgundy brown change classical colors.")</f>
        <v>Excellent value Kettle practice with a time of rapid heating and not too much noise. The color burgundy brown change classical colors.</v>
      </c>
    </row>
    <row r="4599">
      <c r="A4599" s="1">
        <v>4.0</v>
      </c>
      <c r="B4599" s="1" t="s">
        <v>4545</v>
      </c>
      <c r="C4599" t="str">
        <f>IFERROR(__xludf.DUMMYFUNCTION("GOOGLETRANSLATE(B4599, ""fr"", ""en"")"),"Very good product Private")</f>
        <v>Very good product Private</v>
      </c>
    </row>
    <row r="4600">
      <c r="A4600" s="1">
        <v>4.0</v>
      </c>
      <c r="B4600" s="1" t="s">
        <v>4546</v>
      </c>
      <c r="C4600" t="str">
        <f>IFERROR(__xludf.DUMMYFUNCTION("GOOGLETRANSLATE(B4600, ""fr"", ""en"")"),"Friendly. Light and comfortable but not ventilated. Add an insole.")</f>
        <v>Friendly. Light and comfortable but not ventilated. Add an insole.</v>
      </c>
    </row>
    <row r="4601">
      <c r="A4601" s="1">
        <v>4.0</v>
      </c>
      <c r="B4601" s="1" t="s">
        <v>4547</v>
      </c>
      <c r="C4601" t="str">
        <f>IFERROR(__xludf.DUMMYFUNCTION("GOOGLETRANSLATE(B4601, ""fr"", ""en"")"),"Very good quality These cables fully meet the expectations that I had, I audiophile, I wanted good cables not too expensive for a second stereo installation, they are perfect. Its clear and rich.")</f>
        <v>Very good quality These cables fully meet the expectations that I had, I audiophile, I wanted good cables not too expensive for a second stereo installation, they are perfect. Its clear and rich.</v>
      </c>
    </row>
    <row r="4602">
      <c r="A4602" s="1">
        <v>5.0</v>
      </c>
      <c r="B4602" s="1" t="s">
        <v>4548</v>
      </c>
      <c r="C4602" t="str">
        <f>IFERROR(__xludf.DUMMYFUNCTION("GOOGLETRANSLATE(B4602, ""fr"", ""en"")"),"perfect conformity with their description and photo a nice design, but especially nice because they are super comfortable")</f>
        <v>perfect conformity with their description and photo a nice design, but especially nice because they are super comfortable</v>
      </c>
    </row>
    <row r="4603">
      <c r="A4603" s="1">
        <v>5.0</v>
      </c>
      <c r="B4603" s="1" t="s">
        <v>4549</v>
      </c>
      <c r="C4603" t="str">
        <f>IFERROR(__xludf.DUMMYFUNCTION("GOOGLETRANSLATE(B4603, ""fr"", ""en"")"),"Absolute comfort for traveling and walking is of a great comfort!")</f>
        <v>Absolute comfort for traveling and walking is of a great comfort!</v>
      </c>
    </row>
    <row r="4604">
      <c r="A4604" s="1">
        <v>5.0</v>
      </c>
      <c r="B4604" s="1" t="s">
        <v>4550</v>
      </c>
      <c r="C4604" t="str">
        <f>IFERROR(__xludf.DUMMYFUNCTION("GOOGLETRANSLATE(B4604, ""fr"", ""en"")"),"Perfect Very good product")</f>
        <v>Perfect Very good product</v>
      </c>
    </row>
    <row r="4605">
      <c r="A4605" s="1">
        <v>5.0</v>
      </c>
      <c r="B4605" s="1" t="s">
        <v>4551</v>
      </c>
      <c r="C4605" t="str">
        <f>IFERROR(__xludf.DUMMYFUNCTION("GOOGLETRANSLATE(B4605, ""fr"", ""en"")"),"Impec to see in time Good size")</f>
        <v>Impec to see in time Good size</v>
      </c>
    </row>
    <row r="4606">
      <c r="A4606" s="1">
        <v>5.0</v>
      </c>
      <c r="B4606" s="1" t="s">
        <v>4552</v>
      </c>
      <c r="C4606" t="str">
        <f>IFERROR(__xludf.DUMMYFUNCTION("GOOGLETRANSLATE(B4606, ""fr"", ""en"")"),"Basketball Match converse well descriptive. Good quality and nice outfit. I recommend this article. The girl is delighted his sneakers")</f>
        <v>Basketball Match converse well descriptive. Good quality and nice outfit. I recommend this article. The girl is delighted his sneakers</v>
      </c>
    </row>
    <row r="4607">
      <c r="A4607" s="1">
        <v>5.0</v>
      </c>
      <c r="B4607" s="1" t="s">
        <v>4553</v>
      </c>
      <c r="C4607" t="str">
        <f>IFERROR(__xludf.DUMMYFUNCTION("GOOGLETRANSLATE(B4607, ""fr"", ""en"")"),"IMPECC NICKEL")</f>
        <v>IMPECC NICKEL</v>
      </c>
    </row>
    <row r="4608">
      <c r="A4608" s="1">
        <v>5.0</v>
      </c>
      <c r="B4608" s="1" t="s">
        <v>4554</v>
      </c>
      <c r="C4608" t="str">
        <f>IFERROR(__xludf.DUMMYFUNCTION("GOOGLETRANSLATE(B4608, ""fr"", ""en"")"),"Ras Ras")</f>
        <v>Ras Ras</v>
      </c>
    </row>
    <row r="4609">
      <c r="A4609" s="1">
        <v>5.0</v>
      </c>
      <c r="B4609" s="1" t="s">
        <v>4555</v>
      </c>
      <c r="C4609" t="str">
        <f>IFERROR(__xludf.DUMMYFUNCTION("GOOGLETRANSLATE(B4609, ""fr"", ""en"")"),"Excellent table everyday use, careful planning another bag for poor quality")</f>
        <v>Excellent table everyday use, careful planning another bag for poor quality</v>
      </c>
    </row>
    <row r="4610">
      <c r="A4610" s="1">
        <v>5.0</v>
      </c>
      <c r="B4610" s="1" t="s">
        <v>4556</v>
      </c>
      <c r="C4610" t="str">
        <f>IFERROR(__xludf.DUMMYFUNCTION("GOOGLETRANSLATE(B4610, ""fr"", ""en"")"),"Very nice I just receive it and I tested, it works well and it's very nice. The light gradually simulating the sunrise from pale red to intense white, programmable from 10 to 60 minutes before the alarm of his NIOHC (several preset sounds or radio of choi"&amp;"ce) Although also separate settings assigned to the functions (sound alarm ...) and adjustment sleep with light simulating the sunset French manual is well ;-) the only negative is that the radio stations Preset automatically (there are 27!) and we can cl"&amp;"assify them in the order you want. But ... for waking We'll see situation after experiments. But very good feeling for now")</f>
        <v>Very nice I just receive it and I tested, it works well and it's very nice. The light gradually simulating the sunrise from pale red to intense white, programmable from 10 to 60 minutes before the alarm of his NIOHC (several preset sounds or radio of choice) Although also separate settings assigned to the functions (sound alarm ...) and adjustment sleep with light simulating the sunset French manual is well ;-) the only negative is that the radio stations Preset automatically (there are 27!) and we can classify them in the order you want. But ... for waking We'll see situation after experiments. But very good feeling for now</v>
      </c>
    </row>
    <row r="4611">
      <c r="A4611" s="1">
        <v>5.0</v>
      </c>
      <c r="B4611" s="1" t="s">
        <v>4557</v>
      </c>
      <c r="C4611" t="str">
        <f>IFERROR(__xludf.DUMMYFUNCTION("GOOGLETRANSLATE(B4611, ""fr"", ""en"")"),"Original Hi, Nothing to say, this is the original Canon cartridges, it fulfills its functions and good quality for less money than in the traditional trade.")</f>
        <v>Original Hi, Nothing to say, this is the original Canon cartridges, it fulfills its functions and good quality for less money than in the traditional trade.</v>
      </c>
    </row>
    <row r="4612">
      <c r="A4612" s="1">
        <v>5.0</v>
      </c>
      <c r="B4612" s="1" t="s">
        <v>4558</v>
      </c>
      <c r="C4612" t="str">
        <f>IFERROR(__xludf.DUMMYFUNCTION("GOOGLETRANSLATE(B4612, ""fr"", ""en"")"),"Good product I recommend")</f>
        <v>Good product I recommend</v>
      </c>
    </row>
    <row r="4613">
      <c r="A4613" s="1">
        <v>5.0</v>
      </c>
      <c r="B4613" s="1" t="s">
        <v>4559</v>
      </c>
      <c r="C4613" t="str">
        <f>IFERROR(__xludf.DUMMYFUNCTION("GOOGLETRANSLATE(B4613, ""fr"", ""en"")"),"good quality consistent with the description and expectations")</f>
        <v>good quality consistent with the description and expectations</v>
      </c>
    </row>
    <row r="4614">
      <c r="A4614" s="1">
        <v>5.0</v>
      </c>
      <c r="B4614" s="1" t="s">
        <v>4560</v>
      </c>
      <c r="C4614" t="str">
        <f>IFERROR(__xludf.DUMMYFUNCTION("GOOGLETRANSLATE(B4614, ""fr"", ""en"")"),"comfort Ideal for everyday")</f>
        <v>comfort Ideal for everyday</v>
      </c>
    </row>
    <row r="4615">
      <c r="A4615" s="1">
        <v>5.0</v>
      </c>
      <c r="B4615" s="1" t="s">
        <v>4561</v>
      </c>
      <c r="C4615" t="str">
        <f>IFERROR(__xludf.DUMMYFUNCTION("GOOGLETRANSLATE(B4615, ""fr"", ""en"")"),"C cute I love the way the story is told and we rediscover a great many heroes of Greek mythology in this series. Unlike Ulysses where I got lost, like him, in his comings and goings through the islands and adventures, this story is a subtle blend of sweet"&amp;"ness, emotions and twists")</f>
        <v>C cute I love the way the story is told and we rediscover a great many heroes of Greek mythology in this series. Unlike Ulysses where I got lost, like him, in his comings and goings through the islands and adventures, this story is a subtle blend of sweetness, emotions and twists</v>
      </c>
    </row>
    <row r="4616">
      <c r="A4616" s="1">
        <v>5.0</v>
      </c>
      <c r="B4616" s="1" t="s">
        <v>4562</v>
      </c>
      <c r="C4616" t="str">
        <f>IFERROR(__xludf.DUMMYFUNCTION("GOOGLETRANSLATE(B4616, ""fr"", ""en"")"),"Lacoste Super")</f>
        <v>Lacoste Super</v>
      </c>
    </row>
    <row r="4617">
      <c r="A4617" s="1">
        <v>2.0</v>
      </c>
      <c r="B4617" s="1" t="s">
        <v>4563</v>
      </c>
      <c r="C4617" t="str">
        <f>IFERROR(__xludf.DUMMYFUNCTION("GOOGLETRANSLATE(B4617, ""fr"", ""en"")"),"risk of burns To be avoided for family use with children because real risks of burns. When pressed all the kettle becomes hot to the hand grip. Even at work and warning label, one of us has regretted. We will replace it because of this major fault.")</f>
        <v>risk of burns To be avoided for family use with children because real risks of burns. When pressed all the kettle becomes hot to the hand grip. Even at work and warning label, one of us has regretted. We will replace it because of this major fault.</v>
      </c>
    </row>
    <row r="4618">
      <c r="A4618" s="1">
        <v>1.0</v>
      </c>
      <c r="B4618" s="1" t="s">
        <v>4564</v>
      </c>
      <c r="C4618" t="str">
        <f>IFERROR(__xludf.DUMMYFUNCTION("GOOGLETRANSLATE(B4618, ""fr"", ""en"")"),"Very disappointed not reliable. Account even when not working !!!")</f>
        <v>Very disappointed not reliable. Account even when not working !!!</v>
      </c>
    </row>
    <row r="4619">
      <c r="A4619" s="1">
        <v>1.0</v>
      </c>
      <c r="B4619" s="1" t="s">
        <v>4565</v>
      </c>
      <c r="C4619" t="str">
        <f>IFERROR(__xludf.DUMMYFUNCTION("GOOGLETRANSLATE(B4619, ""fr"", ""en"")"),"No Very disappointed after 3 times the magnetic clasp door stopped working. I would not recommend the")</f>
        <v>No Very disappointed after 3 times the magnetic clasp door stopped working. I would not recommend the</v>
      </c>
    </row>
    <row r="4620">
      <c r="A4620" s="1">
        <v>3.0</v>
      </c>
      <c r="B4620" s="1" t="s">
        <v>4566</v>
      </c>
      <c r="C4620" t="str">
        <f>IFERROR(__xludf.DUMMYFUNCTION("GOOGLETRANSLATE(B4620, ""fr"", ""en"")"),"Mounting system too complex quality probably very good but not even try because too many screws, son, stuff and stuff to fix my smartphone becomes a gas plant and loses the interest of convenience always available in pocket . So back to me.")</f>
        <v>Mounting system too complex quality probably very good but not even try because too many screws, son, stuff and stuff to fix my smartphone becomes a gas plant and loses the interest of convenience always available in pocket . So back to me.</v>
      </c>
    </row>
    <row r="4621">
      <c r="A4621" s="1">
        <v>3.0</v>
      </c>
      <c r="B4621" s="1" t="s">
        <v>4567</v>
      </c>
      <c r="C4621" t="str">
        <f>IFERROR(__xludf.DUMMYFUNCTION("GOOGLETRANSLATE(B4621, ""fr"", ""en"")"),"size to see again, I put on the 47 ordered 45 after 2 Returns Hello, I am very satisfied, they are classified and comfortable for safety shoes !!! however the size is a goodbye, I put on the 47 so ordered 47 too big !!!!! I therefore order of 46 too big a"&amp;"nd I finalize my order of 45. What a waste, 3 deliveries, postage and time (3 weeks) to make return etc ... Board = &amp; gt; sizes equal to and greater than 45 = &amp; gt; - size 2 sizes less than 45 = &amp; gt; - 1 size")</f>
        <v>size to see again, I put on the 47 ordered 45 after 2 Returns Hello, I am very satisfied, they are classified and comfortable for safety shoes !!! however the size is a goodbye, I put on the 47 so ordered 47 too big !!!!! I therefore order of 46 too big and I finalize my order of 45. What a waste, 3 deliveries, postage and time (3 weeks) to make return etc ... Board = &amp; gt; sizes equal to and greater than 45 = &amp; gt; - size 2 sizes less than 45 = &amp; gt; - 1 size</v>
      </c>
    </row>
    <row r="4622">
      <c r="A4622" s="1">
        <v>4.0</v>
      </c>
      <c r="B4622" s="1" t="s">
        <v>4568</v>
      </c>
      <c r="C4622" t="str">
        <f>IFERROR(__xludf.DUMMYFUNCTION("GOOGLETRANSLATE(B4622, ""fr"", ""en"")"),"in line with the announcement The delivery is fast, product fully in line with the announcement, I highly recommeded, nice leather that will put to, unwanted necklace with pendebntifs crazy plastic")</f>
        <v>in line with the announcement The delivery is fast, product fully in line with the announcement, I highly recommeded, nice leather that will put to, unwanted necklace with pendebntifs crazy plastic</v>
      </c>
    </row>
    <row r="4623">
      <c r="A4623" s="1">
        <v>4.0</v>
      </c>
      <c r="B4623" s="1" t="s">
        <v>4569</v>
      </c>
      <c r="C4623" t="str">
        <f>IFERROR(__xludf.DUMMYFUNCTION("GOOGLETRANSLATE(B4623, ""fr"", ""en"")"),"Although Good flow to the breast milk and artificial, sizes M are too fast for my baby. As against it is struggling with form")</f>
        <v>Although Good flow to the breast milk and artificial, sizes M are too fast for my baby. As against it is struggling with form</v>
      </c>
    </row>
    <row r="4624">
      <c r="A4624" s="1">
        <v>4.0</v>
      </c>
      <c r="B4624" s="1" t="s">
        <v>4570</v>
      </c>
      <c r="C4624" t="str">
        <f>IFERROR(__xludf.DUMMYFUNCTION("GOOGLETRANSLATE(B4624, ""fr"", ""en"")"),"Really nice and cheaper than jewelry or store fossil gap of € 37 elegant Top class see in time I level reliability but really beautiful and original ... and € 40 cheaper at Amazon than in the fossil shop. Top delivered in two days and more")</f>
        <v>Really nice and cheaper than jewelry or store fossil gap of € 37 elegant Top class see in time I level reliability but really beautiful and original ... and € 40 cheaper at Amazon than in the fossil shop. Top delivered in two days and more</v>
      </c>
    </row>
    <row r="4625">
      <c r="A4625" s="1">
        <v>4.0</v>
      </c>
      <c r="B4625" s="1" t="s">
        <v>4571</v>
      </c>
      <c r="C4625" t="str">
        <f>IFERROR(__xludf.DUMMYFUNCTION("GOOGLETRANSLATE(B4625, ""fr"", ""en"")"),"Size Long Stretch and comfortable to take a size smaller.")</f>
        <v>Size Long Stretch and comfortable to take a size smaller.</v>
      </c>
    </row>
    <row r="4626">
      <c r="A4626" s="1">
        <v>5.0</v>
      </c>
      <c r="B4626" s="1" t="s">
        <v>4572</v>
      </c>
      <c r="C4626" t="str">
        <f>IFERROR(__xludf.DUMMYFUNCTION("GOOGLETRANSLATE(B4626, ""fr"", ""en"")"),"Convenient and comfortable to wear look nice, light and well-cut, warm and comfortable, very satisfied")</f>
        <v>Convenient and comfortable to wear look nice, light and well-cut, warm and comfortable, very satisfied</v>
      </c>
    </row>
    <row r="4627">
      <c r="A4627" s="1">
        <v>5.0</v>
      </c>
      <c r="B4627" s="1" t="s">
        <v>4573</v>
      </c>
      <c r="C4627" t="str">
        <f>IFERROR(__xludf.DUMMYFUNCTION("GOOGLETRANSLATE(B4627, ""fr"", ""en"")"),"Expensive but so pleasant fragrance and durable Use for linens as its smell is pleasant. Price too expensive to be used sparingly, is please I reserve linens.")</f>
        <v>Expensive but so pleasant fragrance and durable Use for linens as its smell is pleasant. Price too expensive to be used sparingly, is please I reserve linens.</v>
      </c>
    </row>
    <row r="4628">
      <c r="A4628" s="1">
        <v>5.0</v>
      </c>
      <c r="B4628" s="1" t="s">
        <v>4574</v>
      </c>
      <c r="C4628" t="str">
        <f>IFERROR(__xludf.DUMMYFUNCTION("GOOGLETRANSLATE(B4628, ""fr"", ""en"")"),"PRODUCT EXCELLENT Economic, it has an excellent value and deserves to be ordered in packs with toilet paper. Another advantage is that when you go shopping in the supermarket space such products is so extreme that here it comes, just store ... FINDING Whi"&amp;"le other towels of all or toilet paper are not suitable for washing glass or ice as fluff, this one is great, not plush and just with a little white vinegar helps make a window as new and effortlessly.")</f>
        <v>PRODUCT EXCELLENT Economic, it has an excellent value and deserves to be ordered in packs with toilet paper. Another advantage is that when you go shopping in the supermarket space such products is so extreme that here it comes, just store ... FINDING While other towels of all or toilet paper are not suitable for washing glass or ice as fluff, this one is great, not plush and just with a little white vinegar helps make a window as new and effortlessly.</v>
      </c>
    </row>
    <row r="4629">
      <c r="A4629" s="1">
        <v>5.0</v>
      </c>
      <c r="B4629" s="1" t="s">
        <v>4575</v>
      </c>
      <c r="C4629" t="str">
        <f>IFERROR(__xludf.DUMMYFUNCTION("GOOGLETRANSLATE(B4629, ""fr"", ""en"")"),"sneakers sneakers ideal, fun§ color I bought these shoes for my 18 year old son who puts out dressed in jeans or jogging.Il found too ""classes"" by color and style. size 42 complies .and sending was done quickly because I have received on 01/12 instead o"&amp;"f 03/12! Congratulations to the seller for its effectiveness.")</f>
        <v>sneakers sneakers ideal, fun§ color I bought these shoes for my 18 year old son who puts out dressed in jeans or jogging.Il found too "classes" by color and style. size 42 complies .and sending was done quickly because I have received on 01/12 instead of 03/12! Congratulations to the seller for its effectiveness.</v>
      </c>
    </row>
    <row r="4630">
      <c r="A4630" s="1">
        <v>5.0</v>
      </c>
      <c r="B4630" s="1" t="s">
        <v>4576</v>
      </c>
      <c r="C4630" t="str">
        <f>IFERROR(__xludf.DUMMYFUNCTION("GOOGLETRANSLATE(B4630, ""fr"", ""en"")"),"Gift Bought as end of year gift, its buyers are satisfied!")</f>
        <v>Gift Bought as end of year gift, its buyers are satisfied!</v>
      </c>
    </row>
    <row r="4631">
      <c r="A4631" s="1">
        <v>5.0</v>
      </c>
      <c r="B4631" s="1" t="s">
        <v>4577</v>
      </c>
      <c r="C4631" t="str">
        <f>IFERROR(__xludf.DUMMYFUNCTION("GOOGLETRANSLATE(B4631, ""fr"", ""en"")"),"Perfect! I buy Monday and Tuesday I received! Impeccable delivery! And the product is also well described, works really well on my Audio Technica AT2020, the cover is huge! it covers the microphone !! Superb purchase: D!")</f>
        <v>Perfect! I buy Monday and Tuesday I received! Impeccable delivery! And the product is also well described, works really well on my Audio Technica AT2020, the cover is huge! it covers the microphone !! Superb purchase: D!</v>
      </c>
    </row>
    <row r="4632">
      <c r="A4632" s="1">
        <v>5.0</v>
      </c>
      <c r="B4632" s="1" t="s">
        <v>4578</v>
      </c>
      <c r="C4632" t="str">
        <f>IFERROR(__xludf.DUMMYFUNCTION("GOOGLETRANSLATE(B4632, ""fr"", ""en"")"),"Satisfied Despite a delay in the scheduled delivery following a problem of transit carrier, I was surprised by the plastic packaging, fearing a vulnerability to its container. There was nothing of this bag is what I expected, good quality leather, quality"&amp;" workmanship, ease of implementation, well suited pockets and good storage Very good product, I recommend")</f>
        <v>Satisfied Despite a delay in the scheduled delivery following a problem of transit carrier, I was surprised by the plastic packaging, fearing a vulnerability to its container. There was nothing of this bag is what I expected, good quality leather, quality workmanship, ease of implementation, well suited pockets and good storage Very good product, I recommend</v>
      </c>
    </row>
    <row r="4633">
      <c r="A4633" s="1">
        <v>5.0</v>
      </c>
      <c r="B4633" s="1" t="s">
        <v>4579</v>
      </c>
      <c r="C4633" t="str">
        <f>IFERROR(__xludf.DUMMYFUNCTION("GOOGLETRANSLATE(B4633, ""fr"", ""en"")"),"MASSAGE PRO Very pleasant and efficient, just a little heavy but the result is there!")</f>
        <v>MASSAGE PRO Very pleasant and efficient, just a little heavy but the result is there!</v>
      </c>
    </row>
    <row r="4634">
      <c r="A4634" s="1">
        <v>5.0</v>
      </c>
      <c r="B4634" s="1" t="s">
        <v>4580</v>
      </c>
      <c r="C4634" t="str">
        <f>IFERROR(__xludf.DUMMYFUNCTION("GOOGLETRANSLATE(B4634, ""fr"", ""en"")"),"Satisfied This foot massager is consistent with the description on Amazon. It combines finger pressure, kneading, roll, scraping, airbag and a heating function, provides a complete massage to relieve foot fatigue. It has a protection against overheating a"&amp;"nd off automatically when the temperature over 85 degrees. It has 15 minute timer function. With remote control, you can select the mode or force. The inside cover is removable, it is easy to clean. The heating temperature is adjustable in 5 speed. It als"&amp;"o uses an advanced heating function to relieve muscle tension and promote blood circulation.")</f>
        <v>Satisfied This foot massager is consistent with the description on Amazon. It combines finger pressure, kneading, roll, scraping, airbag and a heating function, provides a complete massage to relieve foot fatigue. It has a protection against overheating and off automatically when the temperature over 85 degrees. It has 15 minute timer function. With remote control, you can select the mode or force. The inside cover is removable, it is easy to clean. The heating temperature is adjustable in 5 speed. It also uses an advanced heating function to relieve muscle tension and promote blood circulation.</v>
      </c>
    </row>
    <row r="4635">
      <c r="A4635" s="1">
        <v>5.0</v>
      </c>
      <c r="B4635" s="1" t="s">
        <v>4581</v>
      </c>
      <c r="C4635" t="str">
        <f>IFERROR(__xludf.DUMMYFUNCTION("GOOGLETRANSLATE(B4635, ""fr"", ""en"")"),"super I gave this watch to my 15 year old daughter, she is really happy she loves and I'm happy with my purchase")</f>
        <v>super I gave this watch to my 15 year old daughter, she is really happy she loves and I'm happy with my purchase</v>
      </c>
    </row>
    <row r="4636">
      <c r="A4636" s="1">
        <v>5.0</v>
      </c>
      <c r="B4636" s="1" t="s">
        <v>4582</v>
      </c>
      <c r="C4636" t="str">
        <f>IFERROR(__xludf.DUMMYFUNCTION("GOOGLETRANSLATE(B4636, ""fr"", ""en"")"),"impeccable I bought this necklace for a gift to a friend - she is delighted")</f>
        <v>impeccable I bought this necklace for a gift to a friend - she is delighted</v>
      </c>
    </row>
    <row r="4637">
      <c r="A4637" s="1">
        <v>5.0</v>
      </c>
      <c r="B4637" s="1" t="s">
        <v>4583</v>
      </c>
      <c r="C4637" t="str">
        <f>IFERROR(__xludf.DUMMYFUNCTION("GOOGLETRANSLATE(B4637, ""fr"", ""en"")"),"Good Very effective marker on the table black glass purchased from the same supplier")</f>
        <v>Good Very effective marker on the table black glass purchased from the same supplier</v>
      </c>
    </row>
    <row r="4638">
      <c r="A4638" s="1">
        <v>5.0</v>
      </c>
      <c r="B4638" s="1" t="s">
        <v>4584</v>
      </c>
      <c r="C4638" t="str">
        <f>IFERROR(__xludf.DUMMYFUNCTION("GOOGLETRANSLATE(B4638, ""fr"", ""en"")"),"Good price Basketball conform to its description, price reasonable quality all the seams are sewn and also trains and friendly the only problem that basketball does not happen quickly just to wait two to three weeks if not correct on the whole.")</f>
        <v>Good price Basketball conform to its description, price reasonable quality all the seams are sewn and also trains and friendly the only problem that basketball does not happen quickly just to wait two to three weeks if not correct on the whole.</v>
      </c>
    </row>
    <row r="4639">
      <c r="A4639" s="1">
        <v>5.0</v>
      </c>
      <c r="B4639" s="1" t="s">
        <v>4585</v>
      </c>
      <c r="C4639" t="str">
        <f>IFERROR(__xludf.DUMMYFUNCTION("GOOGLETRANSLATE(B4639, ""fr"", ""en"")"),"in the top !! cut adapted, perfect to hide some curves !! The material is nice, comfortable to wear and the color matches the order !!")</f>
        <v>in the top !! cut adapted, perfect to hide some curves !! The material is nice, comfortable to wear and the color matches the order !!</v>
      </c>
    </row>
    <row r="4640">
      <c r="A4640" s="1">
        <v>5.0</v>
      </c>
      <c r="B4640" s="1" t="s">
        <v>4586</v>
      </c>
      <c r="C4640" t="str">
        <f>IFERROR(__xludf.DUMMYFUNCTION("GOOGLETRANSLATE(B4640, ""fr"", ""en"")"),"Excellent / very good listener I practice the Home Studio with this headset as an amateur, and it is enough for what I produce. It is very comfortable for the ears, there is an excellent sound reproduction, there are practical accessories, and for the pri"&amp;"ce it's a bargain. I highly recommend this product.")</f>
        <v>Excellent / very good listener I practice the Home Studio with this headset as an amateur, and it is enough for what I produce. It is very comfortable for the ears, there is an excellent sound reproduction, there are practical accessories, and for the price it's a bargain. I highly recommend this product.</v>
      </c>
    </row>
    <row r="4641">
      <c r="A4641" s="1">
        <v>2.0</v>
      </c>
      <c r="B4641" s="1" t="s">
        <v>4587</v>
      </c>
      <c r="C4641" t="str">
        <f>IFERROR(__xludf.DUMMYFUNCTION("GOOGLETRANSLATE(B4641, ""fr"", ""en"")"),"Bad Not on there being any effect on me .... see on other people. Received quickly. I keep for weeks in my pocket, nothing has changed.")</f>
        <v>Bad Not on there being any effect on me .... see on other people. Received quickly. I keep for weeks in my pocket, nothing has changed.</v>
      </c>
    </row>
    <row r="4642">
      <c r="A4642" s="1">
        <v>1.0</v>
      </c>
      <c r="B4642" s="1" t="s">
        <v>4588</v>
      </c>
      <c r="C4642" t="str">
        <f>IFERROR(__xludf.DUMMYFUNCTION("GOOGLETRANSLATE(B4642, ""fr"", ""en"")"),"Not really good quality not really good quality")</f>
        <v>Not really good quality not really good quality</v>
      </c>
    </row>
    <row r="4643">
      <c r="A4643" s="1">
        <v>1.0</v>
      </c>
      <c r="B4643" s="1" t="s">
        <v>4589</v>
      </c>
      <c r="C4643" t="str">
        <f>IFERROR(__xludf.DUMMYFUNCTION("GOOGLETRANSLATE(B4643, ""fr"", ""en"")"),"Counterfeiting Cheap but in fact it is false. Shame on you to deceive customers. Just look for the quality s noticing. I refer you but there is deception on the mark")</f>
        <v>Counterfeiting Cheap but in fact it is false. Shame on you to deceive customers. Just look for the quality s noticing. I refer you but there is deception on the mark</v>
      </c>
    </row>
    <row r="4644">
      <c r="A4644" s="1">
        <v>3.0</v>
      </c>
      <c r="B4644" s="1" t="s">
        <v>4590</v>
      </c>
      <c r="C4644" t="str">
        <f>IFERROR(__xludf.DUMMYFUNCTION("GOOGLETRANSLATE(B4644, ""fr"", ""en"")"),"Excellent value Nothing to say about the quality of the food film downside: it arrived without the zip that allows the cut and this is very difficult to do without this little supplement to the edge of the box.")</f>
        <v>Excellent value Nothing to say about the quality of the food film downside: it arrived without the zip that allows the cut and this is very difficult to do without this little supplement to the edge of the box.</v>
      </c>
    </row>
    <row r="4645">
      <c r="A4645" s="1">
        <v>4.0</v>
      </c>
      <c r="B4645" s="1" t="s">
        <v>4591</v>
      </c>
      <c r="C4645" t="str">
        <f>IFERROR(__xludf.DUMMYFUNCTION("GOOGLETRANSLATE(B4645, ""fr"", ""en"")"),"good deal, considering the price! this is my 2nd pair in 4 years")</f>
        <v>good deal, considering the price! this is my 2nd pair in 4 years</v>
      </c>
    </row>
    <row r="4646">
      <c r="A4646" s="1">
        <v>4.0</v>
      </c>
      <c r="B4646" s="1" t="s">
        <v>4592</v>
      </c>
      <c r="C4646" t="str">
        <f>IFERROR(__xludf.DUMMYFUNCTION("GOOGLETRANSLATE(B4646, ""fr"", ""en"")"),"Great value for money! I was looking for a mic and I got the above. I am a music producer and I used to buy equipment for my pro recording studio. So I did not do too many illusions on this article. Good surprise the microphone is not bad though a metal c"&amp;"an and foot holds well. Attention this microphone requires 48V supply provided by sound pro cards.")</f>
        <v>Great value for money! I was looking for a mic and I got the above. I am a music producer and I used to buy equipment for my pro recording studio. So I did not do too many illusions on this article. Good surprise the microphone is not bad though a metal can and foot holds well. Attention this microphone requires 48V supply provided by sound pro cards.</v>
      </c>
    </row>
    <row r="4647">
      <c r="A4647" s="1">
        <v>4.0</v>
      </c>
      <c r="B4647" s="1" t="s">
        <v>4593</v>
      </c>
      <c r="C4647" t="str">
        <f>IFERROR(__xludf.DUMMYFUNCTION("GOOGLETRANSLATE(B4647, ""fr"", ""en"")"),"A little heavy. It was a gift, but the person is happy ,. Although a bit heavy, so tiring for a great walk.")</f>
        <v>A little heavy. It was a gift, but the person is happy ,. Although a bit heavy, so tiring for a great walk.</v>
      </c>
    </row>
    <row r="4648">
      <c r="A4648" s="1">
        <v>4.0</v>
      </c>
      <c r="B4648" s="1" t="s">
        <v>4594</v>
      </c>
      <c r="C4648" t="str">
        <f>IFERROR(__xludf.DUMMYFUNCTION("GOOGLETRANSLATE(B4648, ""fr"", ""en"")"),"A vintage zippo Zippo has reissued this version 1941. It is a little smaller and rounder than conventional models, a slight vintage look. The surfaces are brushed and sides mirror polished. Still the typical click to open, and ignition clockwork. The mark"&amp;" is engraved discretely on the front and refines the set (the etching is not seen on the picture used on the site). If you are looking for a cheap lighter, simple and retro, it's really nice. Delivered in a small cardboard box and an explanatory fichette "&amp;"on the differences with the current brand lighters. Otherwise, do not forget the essence in order to use it ...")</f>
        <v>A vintage zippo Zippo has reissued this version 1941. It is a little smaller and rounder than conventional models, a slight vintage look. The surfaces are brushed and sides mirror polished. Still the typical click to open, and ignition clockwork. The mark is engraved discretely on the front and refines the set (the etching is not seen on the picture used on the site). If you are looking for a cheap lighter, simple and retro, it's really nice. Delivered in a small cardboard box and an explanatory fichette on the differences with the current brand lighters. Otherwise, do not forget the essence in order to use it ...</v>
      </c>
    </row>
    <row r="4649">
      <c r="A4649" s="1">
        <v>5.0</v>
      </c>
      <c r="B4649" s="1" t="s">
        <v>4595</v>
      </c>
      <c r="C4649" t="str">
        <f>IFERROR(__xludf.DUMMYFUNCTION("GOOGLETRANSLATE(B4649, ""fr"", ""en"")"),"product well cut off product well and seems quality.")</f>
        <v>product well cut off product well and seems quality.</v>
      </c>
    </row>
    <row r="4650">
      <c r="A4650" s="1">
        <v>5.0</v>
      </c>
      <c r="B4650" s="1" t="s">
        <v>4596</v>
      </c>
      <c r="C4650" t="str">
        <f>IFERROR(__xludf.DUMMYFUNCTION("GOOGLETRANSLATE(B4650, ""fr"", ""en"")"),"Delighted J adore! ! ! !")</f>
        <v>Delighted J adore! ! ! !</v>
      </c>
    </row>
    <row r="4651">
      <c r="A4651" s="1">
        <v>5.0</v>
      </c>
      <c r="B4651" s="1" t="s">
        <v>4597</v>
      </c>
      <c r="C4651" t="str">
        <f>IFERROR(__xludf.DUMMYFUNCTION("GOOGLETRANSLATE(B4651, ""fr"", ""en"")"),"Tap Tap nice comfortable, a little tight but they will")</f>
        <v>Tap Tap nice comfortable, a little tight but they will</v>
      </c>
    </row>
    <row r="4652">
      <c r="A4652" s="1">
        <v>5.0</v>
      </c>
      <c r="B4652" s="1" t="s">
        <v>4598</v>
      </c>
      <c r="C4652" t="str">
        <f>IFERROR(__xludf.DUMMYFUNCTION("GOOGLETRANSLATE(B4652, ""fr"", ""en"")"),"very comfortable and light weight as described")</f>
        <v>very comfortable and light weight as described</v>
      </c>
    </row>
    <row r="4653">
      <c r="A4653" s="1">
        <v>5.0</v>
      </c>
      <c r="B4653" s="1" t="s">
        <v>4599</v>
      </c>
      <c r="C4653" t="str">
        <f>IFERROR(__xludf.DUMMYFUNCTION("GOOGLETRANSLATE(B4653, ""fr"", ""en"")"),"Not for the cozy My wife uses it for her back pain, It's been a crazy well even if it is at the limit of the pain!")</f>
        <v>Not for the cozy My wife uses it for her back pain, It's been a crazy well even if it is at the limit of the pain!</v>
      </c>
    </row>
    <row r="4654">
      <c r="A4654" s="1">
        <v>5.0</v>
      </c>
      <c r="B4654" s="1" t="s">
        <v>4600</v>
      </c>
      <c r="C4654" t="str">
        <f>IFERROR(__xludf.DUMMYFUNCTION("GOOGLETRANSLATE(B4654, ""fr"", ""en"")"),"Take the size above yours. Initially it was for sport but I quickly became disillusioned. He cuts a size below the desired size.")</f>
        <v>Take the size above yours. Initially it was for sport but I quickly became disillusioned. He cuts a size below the desired size.</v>
      </c>
    </row>
    <row r="4655">
      <c r="A4655" s="1">
        <v>5.0</v>
      </c>
      <c r="B4655" s="1" t="s">
        <v>4601</v>
      </c>
      <c r="C4655" t="str">
        <f>IFERROR(__xludf.DUMMYFUNCTION("GOOGLETRANSLATE(B4655, ""fr"", ""en"")"),"thrilled thrilled")</f>
        <v>thrilled thrilled</v>
      </c>
    </row>
    <row r="4656">
      <c r="A4656" s="1">
        <v>5.0</v>
      </c>
      <c r="B4656" s="1" t="s">
        <v>4602</v>
      </c>
      <c r="C4656" t="str">
        <f>IFERROR(__xludf.DUMMYFUNCTION("GOOGLETRANSLATE(B4656, ""fr"", ""en"")"),"The Rolls-Royce of gaming headphones I have had for 1 year the old version of this helmet which I was fairly pleased with the quality and sound. Here I was blown away by the quality of finish of the helmet and really different sound quality for gaming, we"&amp;" really have a company a company that significantly improves its products and takes into account the mistakes of the past to make you a GAMING headset excellent quality. Is what I would order again in Astro? Yes without hesitation eyes closed.")</f>
        <v>The Rolls-Royce of gaming headphones I have had for 1 year the old version of this helmet which I was fairly pleased with the quality and sound. Here I was blown away by the quality of finish of the helmet and really different sound quality for gaming, we really have a company a company that significantly improves its products and takes into account the mistakes of the past to make you a GAMING headset excellent quality. Is what I would order again in Astro? Yes without hesitation eyes closed.</v>
      </c>
    </row>
    <row r="4657">
      <c r="A4657" s="1">
        <v>5.0</v>
      </c>
      <c r="B4657" s="1" t="s">
        <v>4603</v>
      </c>
      <c r="C4657" t="str">
        <f>IFERROR(__xludf.DUMMYFUNCTION("GOOGLETRANSLATE(B4657, ""fr"", ""en"")"),"A true happiness Top, nothing to say ...")</f>
        <v>A true happiness Top, nothing to say ...</v>
      </c>
    </row>
    <row r="4658">
      <c r="A4658" s="1">
        <v>5.0</v>
      </c>
      <c r="B4658" s="1" t="s">
        <v>4604</v>
      </c>
      <c r="C4658" t="str">
        <f>IFERROR(__xludf.DUMMYFUNCTION("GOOGLETRANSLATE(B4658, ""fr"", ""en"")"),"Perfect Perfect for my course")</f>
        <v>Perfect Perfect for my course</v>
      </c>
    </row>
    <row r="4659">
      <c r="A4659" s="1">
        <v>5.0</v>
      </c>
      <c r="B4659" s="1" t="s">
        <v>4605</v>
      </c>
      <c r="C4659" t="str">
        <f>IFERROR(__xludf.DUMMYFUNCTION("GOOGLETRANSLATE(B4659, ""fr"", ""en"")"),"Good product easy subject to fit and of good quality. I recommend this product. I advise a small anti pop filter like on my picture taken for its optimal")</f>
        <v>Good product easy subject to fit and of good quality. I recommend this product. I advise a small anti pop filter like on my picture taken for its optimal</v>
      </c>
    </row>
    <row r="4660">
      <c r="A4660" s="1">
        <v>5.0</v>
      </c>
      <c r="B4660" s="1" t="s">
        <v>4606</v>
      </c>
      <c r="C4660" t="str">
        <f>IFERROR(__xludf.DUMMYFUNCTION("GOOGLETRANSLATE(B4660, ""fr"", ""en"")"),"Good items Brushes")</f>
        <v>Good items Brushes</v>
      </c>
    </row>
    <row r="4661">
      <c r="A4661" s="1">
        <v>5.0</v>
      </c>
      <c r="B4661" s="1" t="s">
        <v>4607</v>
      </c>
      <c r="C4661" t="str">
        <f>IFERROR(__xludf.DUMMYFUNCTION("GOOGLETRANSLATE(B4661, ""fr"", ""en"")"),"Fully in line with our expectations. Very efficient and daily practice. The door toast avoids burn with toast. Ergonomic design has found its way perfectly.")</f>
        <v>Fully in line with our expectations. Very efficient and daily practice. The door toast avoids burn with toast. Ergonomic design has found its way perfectly.</v>
      </c>
    </row>
    <row r="4662">
      <c r="A4662" s="1">
        <v>5.0</v>
      </c>
      <c r="B4662" s="1" t="s">
        <v>1236</v>
      </c>
      <c r="C4662" t="str">
        <f>IFERROR(__xludf.DUMMYFUNCTION("GOOGLETRANSLATE(B4662, ""fr"", ""en"")"),"very well very well")</f>
        <v>very well very well</v>
      </c>
    </row>
    <row r="4663">
      <c r="A4663" s="1">
        <v>5.0</v>
      </c>
      <c r="B4663" s="1" t="s">
        <v>4608</v>
      </c>
      <c r="C4663" t="str">
        <f>IFERROR(__xludf.DUMMYFUNCTION("GOOGLETRANSLATE(B4663, ""fr"", ""en"")"),"He does not move very well Really perfect size.")</f>
        <v>He does not move very well Really perfect size.</v>
      </c>
    </row>
    <row r="4664">
      <c r="A4664" s="1">
        <v>2.0</v>
      </c>
      <c r="B4664" s="1" t="s">
        <v>4609</v>
      </c>
      <c r="C4664" t="str">
        <f>IFERROR(__xludf.DUMMYFUNCTION("GOOGLETRANSLATE(B4664, ""fr"", ""en"")"),"It was worth the money, nothing more. I venture an opinion on these shoes because I took 4 pairs in a few months. So I think to have an informed opinion to share the experience. These sneakers are pretty, nice, comfortable (no exaggeration, but not conclu"&amp;"sive discomfort). By cons, and this is the big problem of this model is that the fabric tears SYSTEMATICALLY after a few weeks in the heel. All my pairs had the same concern ... Basically, it's the m ****. But it is also cheap. Therefore ...")</f>
        <v>It was worth the money, nothing more. I venture an opinion on these shoes because I took 4 pairs in a few months. So I think to have an informed opinion to share the experience. These sneakers are pretty, nice, comfortable (no exaggeration, but not conclusive discomfort). By cons, and this is the big problem of this model is that the fabric tears SYSTEMATICALLY after a few weeks in the heel. All my pairs had the same concern ... Basically, it's the m ****. But it is also cheap. Therefore ...</v>
      </c>
    </row>
    <row r="4665">
      <c r="A4665" s="1">
        <v>1.0</v>
      </c>
      <c r="B4665" s="1" t="s">
        <v>4610</v>
      </c>
      <c r="C4665" t="str">
        <f>IFERROR(__xludf.DUMMYFUNCTION("GOOGLETRANSLATE(B4665, ""fr"", ""en"")"),"Design nice but ... returned Product for synchronizing to a very recent TV bluetooth constantly logged out. Also contrary to what I had read the sound was far from being qualitative. And when it was connected to the maximum volume is very very low ... It "&amp;"starts to do a lot for the price ....")</f>
        <v>Design nice but ... returned Product for synchronizing to a very recent TV bluetooth constantly logged out. Also contrary to what I had read the sound was far from being qualitative. And when it was connected to the maximum volume is very very low ... It starts to do a lot for the price ....</v>
      </c>
    </row>
    <row r="4666">
      <c r="A4666" s="1">
        <v>3.0</v>
      </c>
      <c r="B4666" s="1" t="s">
        <v>4611</v>
      </c>
      <c r="C4666" t="str">
        <f>IFERROR(__xludf.DUMMYFUNCTION("GOOGLETRANSLATE(B4666, ""fr"", ""en"")"),"small size good shoe, from the heel a little surprising but we do so. by cons I suggest you take a view both size larger because small shoes. Also not good is good value for money.")</f>
        <v>small size good shoe, from the heel a little surprising but we do so. by cons I suggest you take a view both size larger because small shoes. Also not good is good value for money.</v>
      </c>
    </row>
    <row r="4667">
      <c r="A4667" s="1">
        <v>3.0</v>
      </c>
      <c r="B4667" s="1" t="s">
        <v>4612</v>
      </c>
      <c r="C4667" t="str">
        <f>IFERROR(__xludf.DUMMYFUNCTION("GOOGLETRANSLATE(B4667, ""fr"", ""en"")"),"Bad I thought there was a bottle brush and a bottle brush nipple but no, there is a bottle brush after that of them can also be used on the nipples but I have not tested yet")</f>
        <v>Bad I thought there was a bottle brush and a bottle brush nipple but no, there is a bottle brush after that of them can also be used on the nipples but I have not tested yet</v>
      </c>
    </row>
    <row r="4668">
      <c r="A4668" s="1">
        <v>4.0</v>
      </c>
      <c r="B4668" s="1" t="s">
        <v>4613</v>
      </c>
      <c r="C4668" t="str">
        <f>IFERROR(__xludf.DUMMYFUNCTION("GOOGLETRANSLATE(B4668, ""fr"", ""en"")"),"awesome shoes received timely, consistent with the description. A real pleasure to wear, at the same time I already knew and I remain faithful to the brand!")</f>
        <v>awesome shoes received timely, consistent with the description. A real pleasure to wear, at the same time I already knew and I remain faithful to the brand!</v>
      </c>
    </row>
    <row r="4669">
      <c r="A4669" s="1">
        <v>4.0</v>
      </c>
      <c r="B4669" s="1" t="s">
        <v>4614</v>
      </c>
      <c r="C4669" t="str">
        <f>IFERROR(__xludf.DUMMYFUNCTION("GOOGLETRANSLATE(B4669, ""fr"", ""en"")"),"Very Happy The kettle filled his role well. intuitive operation. I have just loved to stop the alarm that I find a bit strong.")</f>
        <v>Very Happy The kettle filled his role well. intuitive operation. I have just loved to stop the alarm that I find a bit strong.</v>
      </c>
    </row>
    <row r="4670">
      <c r="A4670" s="1">
        <v>4.0</v>
      </c>
      <c r="B4670" s="1" t="s">
        <v>4615</v>
      </c>
      <c r="C4670" t="str">
        <f>IFERROR(__xludf.DUMMYFUNCTION("GOOGLETRANSLATE(B4670, ""fr"", ""en"")"),"product without problem apparently resistant fast delivery no worries solid air")</f>
        <v>product without problem apparently resistant fast delivery no worries solid air</v>
      </c>
    </row>
    <row r="4671">
      <c r="A4671" s="1">
        <v>4.0</v>
      </c>
      <c r="B4671" s="1" t="s">
        <v>4616</v>
      </c>
      <c r="C4671" t="str">
        <f>IFERROR(__xludf.DUMMYFUNCTION("GOOGLETRANSLATE(B4671, ""fr"", ""en"")"),"satisfied but not better quality product already spent in machine and nothing move, plus autumn winter product, the hood is not bad")</f>
        <v>satisfied but not better quality product already spent in machine and nothing move, plus autumn winter product, the hood is not bad</v>
      </c>
    </row>
    <row r="4672">
      <c r="A4672" s="1">
        <v>5.0</v>
      </c>
      <c r="B4672" s="1" t="s">
        <v>4617</v>
      </c>
      <c r="C4672" t="str">
        <f>IFERROR(__xludf.DUMMYFUNCTION("GOOGLETRANSLATE(B4672, ""fr"", ""en"")"),"Beautiful bag and rigid bcp pockets. Actually, I am very satisfied and I recommend it to everyone. Shiny and smooth, it can store all important papers and wallet for 1 trip.")</f>
        <v>Beautiful bag and rigid bcp pockets. Actually, I am very satisfied and I recommend it to everyone. Shiny and smooth, it can store all important papers and wallet for 1 trip.</v>
      </c>
    </row>
    <row r="4673">
      <c r="A4673" s="1">
        <v>5.0</v>
      </c>
      <c r="B4673" s="1" t="s">
        <v>4618</v>
      </c>
      <c r="C4673" t="str">
        <f>IFERROR(__xludf.DUMMYFUNCTION("GOOGLETRANSLATE(B4673, ""fr"", ""en"")"),"brassiere perfect I do not put that much better than the ca bras chest is perfectly maintained and the matter is top")</f>
        <v>brassiere perfect I do not put that much better than the ca bras chest is perfectly maintained and the matter is top</v>
      </c>
    </row>
    <row r="4674">
      <c r="A4674" s="1">
        <v>5.0</v>
      </c>
      <c r="B4674" s="1" t="s">
        <v>4619</v>
      </c>
      <c r="C4674" t="str">
        <f>IFERROR(__xludf.DUMMYFUNCTION("GOOGLETRANSLATE(B4674, ""fr"", ""en"")"),"Beautiful design Pleasantly surprised by the design of this item .. it goes well in any interior ... n the essential oil distribution is very nice and several levels of intensity .. disseminating cutting automatically after the desired time and the lights"&amp;" are very relaxing .. No perfect in any room of the house to purify the air or just bring a pleasant smell ...")</f>
        <v>Beautiful design Pleasantly surprised by the design of this item .. it goes well in any interior ... n the essential oil distribution is very nice and several levels of intensity .. disseminating cutting automatically after the desired time and the lights are very relaxing .. No perfect in any room of the house to purify the air or just bring a pleasant smell ...</v>
      </c>
    </row>
    <row r="4675">
      <c r="A4675" s="1">
        <v>5.0</v>
      </c>
      <c r="B4675" s="1" t="s">
        <v>4620</v>
      </c>
      <c r="C4675" t="str">
        <f>IFERROR(__xludf.DUMMYFUNCTION("GOOGLETRANSLATE(B4675, ""fr"", ""en"")"),"Super hot Very comfortable, well warm winter and they hold up well to foot! Quality Level nothing to say, they are beautiful finishes top")</f>
        <v>Super hot Very comfortable, well warm winter and they hold up well to foot! Quality Level nothing to say, they are beautiful finishes top</v>
      </c>
    </row>
    <row r="4676">
      <c r="A4676" s="1">
        <v>5.0</v>
      </c>
      <c r="B4676" s="1" t="s">
        <v>4621</v>
      </c>
      <c r="C4676" t="str">
        <f>IFERROR(__xludf.DUMMYFUNCTION("GOOGLETRANSLATE(B4676, ""fr"", ""en"")"),"perfect THEN NOTHING TO SAY WELL C TRO")</f>
        <v>perfect THEN NOTHING TO SAY WELL C TRO</v>
      </c>
    </row>
    <row r="4677">
      <c r="A4677" s="1">
        <v>5.0</v>
      </c>
      <c r="B4677" s="1" t="s">
        <v>4622</v>
      </c>
      <c r="C4677" t="str">
        <f>IFERROR(__xludf.DUMMYFUNCTION("GOOGLETRANSLATE(B4677, ""fr"", ""en"")"),"Good quality I bought this for my son who will begin to paint great product we will test its rapidly")</f>
        <v>Good quality I bought this for my son who will begin to paint great product we will test its rapidly</v>
      </c>
    </row>
    <row r="4678">
      <c r="A4678" s="1">
        <v>5.0</v>
      </c>
      <c r="B4678" s="1" t="s">
        <v>4623</v>
      </c>
      <c r="C4678" t="str">
        <f>IFERROR(__xludf.DUMMYFUNCTION("GOOGLETRANSLATE(B4678, ""fr"", ""en"")"),"Bien was comfortable and sports guy")</f>
        <v>Bien was comfortable and sports guy</v>
      </c>
    </row>
    <row r="4679">
      <c r="A4679" s="1">
        <v>5.0</v>
      </c>
      <c r="B4679" s="1" t="s">
        <v>4624</v>
      </c>
      <c r="C4679" t="str">
        <f>IFERROR(__xludf.DUMMYFUNCTION("GOOGLETRANSLATE(B4679, ""fr"", ""en"")"),"Perfect for milk + flour They are used for a long time (2 children) and they are very resistant. The size 4 are ideal when we add in flour.")</f>
        <v>Perfect for milk + flour They are used for a long time (2 children) and they are very resistant. The size 4 are ideal when we add in flour.</v>
      </c>
    </row>
    <row r="4680">
      <c r="A4680" s="1">
        <v>5.0</v>
      </c>
      <c r="B4680" s="1" t="s">
        <v>4625</v>
      </c>
      <c r="C4680" t="str">
        <f>IFERROR(__xludf.DUMMYFUNCTION("GOOGLETRANSLATE(B4680, ""fr"", ""en"")"),"Very good article Impeccable! The bag goes with everything, convenient and clutter it matches my expectations. I recommend it.")</f>
        <v>Very good article Impeccable! The bag goes with everything, convenient and clutter it matches my expectations. I recommend it.</v>
      </c>
    </row>
    <row r="4681">
      <c r="A4681" s="1">
        <v>5.0</v>
      </c>
      <c r="B4681" s="1" t="s">
        <v>4626</v>
      </c>
      <c r="C4681" t="str">
        <f>IFERROR(__xludf.DUMMYFUNCTION("GOOGLETRANSLATE(B4681, ""fr"", ""en"")"),"Excellent intra After 1 week of testing these earphones I have adopted. After setting the sound through my notes and 10+ via the app sony I sound that suits me that I love and intra again proudly that good sound that I find on helmets great brand very fam"&amp;"ous. The battery keeps this promise with a holding of more than 6 hours without activating anything. No connection problem with the phone for eavesdropping. An excellent noise reduction and which was to improve with the updated 27 August. These intra mana"&amp;"ges to produce excellent sound with an impeccable ear held in a given excellent battery for intra (1 full day and more via the box). I will update my review if I find worries. Hopefully Sony will continue to update the product to address worries that ther"&amp;"e 'for some.")</f>
        <v>Excellent intra After 1 week of testing these earphones I have adopted. After setting the sound through my notes and 10+ via the app sony I sound that suits me that I love and intra again proudly that good sound that I find on helmets great brand very famous. The battery keeps this promise with a holding of more than 6 hours without activating anything. No connection problem with the phone for eavesdropping. An excellent noise reduction and which was to improve with the updated 27 August. These intra manages to produce excellent sound with an impeccable ear held in a given excellent battery for intra (1 full day and more via the box). I will update my review if I find worries. Hopefully Sony will continue to update the product to address worries that there 'for some.</v>
      </c>
    </row>
    <row r="4682">
      <c r="A4682" s="1">
        <v>5.0</v>
      </c>
      <c r="B4682" s="1" t="s">
        <v>4627</v>
      </c>
      <c r="C4682" t="str">
        <f>IFERROR(__xludf.DUMMYFUNCTION("GOOGLETRANSLATE(B4682, ""fr"", ""en"")"),"Satisfied! I am satisfied with the product. It is very beautiful and practical.")</f>
        <v>Satisfied! I am satisfied with the product. It is very beautiful and practical.</v>
      </c>
    </row>
    <row r="4683">
      <c r="A4683" s="1">
        <v>5.0</v>
      </c>
      <c r="B4683" s="1" t="s">
        <v>4628</v>
      </c>
      <c r="C4683" t="str">
        <f>IFERROR(__xludf.DUMMYFUNCTION("GOOGLETRANSLATE(B4683, ""fr"", ""en"")"),"Easy to learn, answers the need Comes with a small label roll. Compatible with D1 tapes sold by Unistar. Easy grip - my 6 year old daughter little label its business alone. At startup the ribbon hangs but it's just that we have not yet understood that the"&amp;" minimum length must exceed with a new ribbon (not jammed with a ribbon already installed).")</f>
        <v>Easy to learn, answers the need Comes with a small label roll. Compatible with D1 tapes sold by Unistar. Easy grip - my 6 year old daughter little label its business alone. At startup the ribbon hangs but it's just that we have not yet understood that the minimum length must exceed with a new ribbon (not jammed with a ribbon already installed).</v>
      </c>
    </row>
    <row r="4684">
      <c r="A4684" s="1">
        <v>5.0</v>
      </c>
      <c r="B4684" s="1" t="s">
        <v>4629</v>
      </c>
      <c r="C4684" t="str">
        <f>IFERROR(__xludf.DUMMYFUNCTION("GOOGLETRANSLATE(B4684, ""fr"", ""en"")"),"radio controlled and solar It perfectly matches my expectations both aesthetic and technical.")</f>
        <v>radio controlled and solar It perfectly matches my expectations both aesthetic and technical.</v>
      </c>
    </row>
    <row r="4685">
      <c r="A4685" s="1">
        <v>5.0</v>
      </c>
      <c r="B4685" s="1" t="s">
        <v>4630</v>
      </c>
      <c r="C4685" t="str">
        <f>IFERROR(__xludf.DUMMYFUNCTION("GOOGLETRANSLATE(B4685, ""fr"", ""en"")"),"The bracelet fits perfectly! It is good quality and is very easy to put through the tools provided with. I recommend!")</f>
        <v>The bracelet fits perfectly! It is good quality and is very easy to put through the tools provided with. I recommend!</v>
      </c>
    </row>
    <row r="4686">
      <c r="A4686" s="1">
        <v>5.0</v>
      </c>
      <c r="B4686" s="1" t="s">
        <v>4631</v>
      </c>
      <c r="C4686" t="str">
        <f>IFERROR(__xludf.DUMMYFUNCTION("GOOGLETRANSLATE(B4686, ""fr"", ""en"")"),"Trainers time of cherries Good shoes correspond to the specified size.")</f>
        <v>Trainers time of cherries Good shoes correspond to the specified size.</v>
      </c>
    </row>
    <row r="4687">
      <c r="A4687" s="1">
        <v>2.0</v>
      </c>
      <c r="B4687" s="1" t="s">
        <v>4632</v>
      </c>
      <c r="C4687" t="str">
        <f>IFERROR(__xludf.DUMMYFUNCTION("GOOGLETRANSLATE(B4687, ""fr"", ""en"")"),"Not worth more than its sale price Nice shows but consistent quality with the price of 27 €. When we see the starting price of € 133, we say anyway that buyers who have paid the price (if any) have done well to have. The buttons seem irrelevant for the fu"&amp;"nctions they control but operate when mm, it's just that there is no feeling of support. The strap is adjustable but the tool provided writhes because the metal rods to be dislocated are difficult to dislodge. The closure seems pretty light and fragile. N"&amp;"ow we must recognize that the watch is its effect in terms of visual and at this price there is nothing to say. But it is not worth more. I also add that the coating fades despite occasional use (see photo), knowing that I did that since late June.")</f>
        <v>Not worth more than its sale price Nice shows but consistent quality with the price of 27 €. When we see the starting price of € 133, we say anyway that buyers who have paid the price (if any) have done well to have. The buttons seem irrelevant for the functions they control but operate when mm, it's just that there is no feeling of support. The strap is adjustable but the tool provided writhes because the metal rods to be dislocated are difficult to dislodge. The closure seems pretty light and fragile. Now we must recognize that the watch is its effect in terms of visual and at this price there is nothing to say. But it is not worth more. I also add that the coating fades despite occasional use (see photo), knowing that I did that since late June.</v>
      </c>
    </row>
    <row r="4688">
      <c r="A4688" s="1">
        <v>1.0</v>
      </c>
      <c r="B4688" s="1" t="s">
        <v>4633</v>
      </c>
      <c r="C4688" t="str">
        <f>IFERROR(__xludf.DUMMYFUNCTION("GOOGLETRANSLATE(B4688, ""fr"", ""en"")"),"HP ink cartridge 62 pack big scam I just opened and put my color cartridge is empty, the second I open the reserve pack and empty too!")</f>
        <v>HP ink cartridge 62 pack big scam I just opened and put my color cartridge is empty, the second I open the reserve pack and empty too!</v>
      </c>
    </row>
    <row r="4689">
      <c r="A4689" s="1">
        <v>1.0</v>
      </c>
      <c r="B4689" s="1" t="s">
        <v>4634</v>
      </c>
      <c r="C4689" t="str">
        <f>IFERROR(__xludf.DUMMYFUNCTION("GOOGLETRANSLATE(B4689, ""fr"", ""en"")"),"Disappointed Disappointed in quality after shot after 1 month of use I realize that the initials next to converse badge s clears so I doubt the product originality")</f>
        <v>Disappointed Disappointed in quality after shot after 1 month of use I realize that the initials next to converse badge s clears so I doubt the product originality</v>
      </c>
    </row>
    <row r="4690">
      <c r="A4690" s="1">
        <v>3.0</v>
      </c>
      <c r="B4690" s="1" t="s">
        <v>4635</v>
      </c>
      <c r="C4690" t="str">
        <f>IFERROR(__xludf.DUMMYFUNCTION("GOOGLETRANSLATE(B4690, ""fr"", ""en"")"),"Done the job, nothing more to get to the point, I bought a product ""recommended by Amazon"" and this is blah no more. Ok it does the job, but my daughter had allergies ears and face ... because the helmet. It is better to put a little more and take a JBL"&amp;" T450 (or 460), the sound is very good, very comfortable, etc ...")</f>
        <v>Done the job, nothing more to get to the point, I bought a product "recommended by Amazon" and this is blah no more. Ok it does the job, but my daughter had allergies ears and face ... because the helmet. It is better to put a little more and take a JBL T450 (or 460), the sound is very good, very comfortable, etc ...</v>
      </c>
    </row>
    <row r="4691">
      <c r="A4691" s="1">
        <v>3.0</v>
      </c>
      <c r="B4691" s="1" t="s">
        <v>4636</v>
      </c>
      <c r="C4691" t="str">
        <f>IFERROR(__xludf.DUMMYFUNCTION("GOOGLETRANSLATE(B4691, ""fr"", ""en"")"),"Length ok but too low waist very decent quality, delivery within dice opinion. The length is good but these pants are poorly cut, it is a very low waist, too low.")</f>
        <v>Length ok but too low waist very decent quality, delivery within dice opinion. The length is good but these pants are poorly cut, it is a very low waist, too low.</v>
      </c>
    </row>
    <row r="4692">
      <c r="A4692" s="1">
        <v>4.0</v>
      </c>
      <c r="B4692" s="1" t="s">
        <v>4637</v>
      </c>
      <c r="C4692" t="str">
        <f>IFERROR(__xludf.DUMMYFUNCTION("GOOGLETRANSLATE(B4692, ""fr"", ""en"")"),"well well")</f>
        <v>well well</v>
      </c>
    </row>
    <row r="4693">
      <c r="A4693" s="1">
        <v>4.0</v>
      </c>
      <c r="B4693" s="1" t="s">
        <v>4638</v>
      </c>
      <c r="C4693" t="str">
        <f>IFERROR(__xludf.DUMMYFUNCTION("GOOGLETRANSLATE(B4693, ""fr"", ""en"")"),"satisfied with this collar is a collar that meets my expectations in matters of solidity. it is simple to put in addition to being beautiful. My son carries the past week and it has 4 months. I first had one also, and he made his teeth without difficultie"&amp;"s.")</f>
        <v>satisfied with this collar is a collar that meets my expectations in matters of solidity. it is simple to put in addition to being beautiful. My son carries the past week and it has 4 months. I first had one also, and he made his teeth without difficulties.</v>
      </c>
    </row>
    <row r="4694">
      <c r="A4694" s="1">
        <v>4.0</v>
      </c>
      <c r="B4694" s="1" t="s">
        <v>4639</v>
      </c>
      <c r="C4694" t="str">
        <f>IFERROR(__xludf.DUMMYFUNCTION("GOOGLETRANSLATE(B4694, ""fr"", ""en"")"),"Long but good ^^ long the heating but retains all the nutrients, Conforms to the description and photo, good quality, satisfied with my purchase,")</f>
        <v>Long but good ^^ long the heating but retains all the nutrients, Conforms to the description and photo, good quality, satisfied with my purchase,</v>
      </c>
    </row>
    <row r="4695">
      <c r="A4695" s="1">
        <v>4.0</v>
      </c>
      <c r="B4695" s="1" t="s">
        <v>4640</v>
      </c>
      <c r="C4695" t="str">
        <f>IFERROR(__xludf.DUMMYFUNCTION("GOOGLETRANSLATE(B4695, ""fr"", ""en"")"),"A basic This kettle is pretty basic. I bought it to install on my work place and fulfills its functions. However, it gives a very plastic feel, and it Generais me in the long run. It is very simple and very intuitive Usage requirements, the manual is almo"&amp;"st useless. The cord is long enough though as always I would have preferred it to be more.")</f>
        <v>A basic This kettle is pretty basic. I bought it to install on my work place and fulfills its functions. However, it gives a very plastic feel, and it Generais me in the long run. It is very simple and very intuitive Usage requirements, the manual is almost useless. The cord is long enough though as always I would have preferred it to be more.</v>
      </c>
    </row>
    <row r="4696">
      <c r="A4696" s="1">
        <v>5.0</v>
      </c>
      <c r="B4696" s="1" t="s">
        <v>4641</v>
      </c>
      <c r="C4696" t="str">
        <f>IFERROR(__xludf.DUMMYFUNCTION("GOOGLETRANSLATE(B4696, ""fr"", ""en"")"),"All cabbage !! I just love it!!! Generally I am not a fan of those big blue stones in the shape of heart, but here the heart is not too big and the koala is as above. So not too big !!! I'm happy with this necklace that I will offer to my goddaughter. The"&amp;" + in the box setting and the small cleaning cloth. It remains to see the quality with time ... I thoroughly recommend this product")</f>
        <v>All cabbage !! I just love it!!! Generally I am not a fan of those big blue stones in the shape of heart, but here the heart is not too big and the koala is as above. So not too big !!! I'm happy with this necklace that I will offer to my goddaughter. The + in the box setting and the small cleaning cloth. It remains to see the quality with time ... I thoroughly recommend this product</v>
      </c>
    </row>
    <row r="4697">
      <c r="A4697" s="1">
        <v>5.0</v>
      </c>
      <c r="B4697" s="1" t="s">
        <v>4642</v>
      </c>
      <c r="C4697" t="str">
        <f>IFERROR(__xludf.DUMMYFUNCTION("GOOGLETRANSLATE(B4697, ""fr"", ""en"")"),"lovely beautiful more beautiful than the picture")</f>
        <v>lovely beautiful more beautiful than the picture</v>
      </c>
    </row>
    <row r="4698">
      <c r="A4698" s="1">
        <v>5.0</v>
      </c>
      <c r="B4698" s="1" t="s">
        <v>4643</v>
      </c>
      <c r="C4698" t="str">
        <f>IFERROR(__xludf.DUMMYFUNCTION("GOOGLETRANSLATE(B4698, ""fr"", ""en"")"),"Refill Buy these refills for me and my children, for my children for school and for me to sew. The pen erases heat, so convenient for sewing to draw on the fabric, it fades to iron board. For my kids they love the fact that it fades with gum planned for t"&amp;"hese pens.")</f>
        <v>Refill Buy these refills for me and my children, for my children for school and for me to sew. The pen erases heat, so convenient for sewing to draw on the fabric, it fades to iron board. For my kids they love the fact that it fades with gum planned for these pens.</v>
      </c>
    </row>
    <row r="4699">
      <c r="A4699" s="1">
        <v>5.0</v>
      </c>
      <c r="B4699" s="1" t="s">
        <v>4644</v>
      </c>
      <c r="C4699" t="str">
        <f>IFERROR(__xludf.DUMMYFUNCTION("GOOGLETRANSLATE(B4699, ""fr"", ""en"")"),"An object become essential at home We use it almost daily and it saved me a few sessions with the chiropractor by relaxing the lower back muscles. It is a bit noisy, but not annoying even watching TV.")</f>
        <v>An object become essential at home We use it almost daily and it saved me a few sessions with the chiropractor by relaxing the lower back muscles. It is a bit noisy, but not annoying even watching TV.</v>
      </c>
    </row>
    <row r="4700">
      <c r="A4700" s="1">
        <v>5.0</v>
      </c>
      <c r="B4700" s="1" t="s">
        <v>4645</v>
      </c>
      <c r="C4700" t="str">
        <f>IFERROR(__xludf.DUMMYFUNCTION("GOOGLETRANSLATE(B4700, ""fr"", ""en"")"),"A pretty good quality headset with Pleasantly surprised by this helmet The helmet is very pleasant to use, it is light, the sound quality is very good. The Bluetooth connectivity allows to not have cable, and this is very convenient. I recommend.")</f>
        <v>A pretty good quality headset with Pleasantly surprised by this helmet The helmet is very pleasant to use, it is light, the sound quality is very good. The Bluetooth connectivity allows to not have cable, and this is very convenient. I recommend.</v>
      </c>
    </row>
    <row r="4701">
      <c r="A4701" s="1">
        <v>5.0</v>
      </c>
      <c r="B4701" s="1" t="s">
        <v>508</v>
      </c>
      <c r="C4701" t="str">
        <f>IFERROR(__xludf.DUMMYFUNCTION("GOOGLETRANSLATE(B4701, ""fr"", ""en"")"),"Very well very well")</f>
        <v>Very well very well</v>
      </c>
    </row>
    <row r="4702">
      <c r="A4702" s="1">
        <v>5.0</v>
      </c>
      <c r="B4702" s="1" t="s">
        <v>4646</v>
      </c>
      <c r="C4702" t="str">
        <f>IFERROR(__xludf.DUMMYFUNCTION("GOOGLETRANSLATE(B4702, ""fr"", ""en"")"),"Good for some actions. Avoid reflections to the microphone, it's not a cabin but the price is not the same!")</f>
        <v>Good for some actions. Avoid reflections to the microphone, it's not a cabin but the price is not the same!</v>
      </c>
    </row>
    <row r="4703">
      <c r="A4703" s="1">
        <v>5.0</v>
      </c>
      <c r="B4703" s="1" t="s">
        <v>4647</v>
      </c>
      <c r="C4703" t="str">
        <f>IFERROR(__xludf.DUMMYFUNCTION("GOOGLETRANSLATE(B4703, ""fr"", ""en"")"),"Superb fine quality rings for a modest price.")</f>
        <v>Superb fine quality rings for a modest price.</v>
      </c>
    </row>
    <row r="4704">
      <c r="A4704" s="1">
        <v>5.0</v>
      </c>
      <c r="B4704" s="1" t="s">
        <v>4648</v>
      </c>
      <c r="C4704" t="str">
        <f>IFERROR(__xludf.DUMMYFUNCTION("GOOGLETRANSLATE(B4704, ""fr"", ""en"")"),"No more pain for lumbar Happiness !!!! Heater easily in the microwave and distributes heat for a while. Better than the gel packs for my taste!")</f>
        <v>No more pain for lumbar Happiness !!!! Heater easily in the microwave and distributes heat for a while. Better than the gel packs for my taste!</v>
      </c>
    </row>
    <row r="4705">
      <c r="A4705" s="1">
        <v>5.0</v>
      </c>
      <c r="B4705" s="1" t="s">
        <v>4649</v>
      </c>
      <c r="C4705" t="str">
        <f>IFERROR(__xludf.DUMMYFUNCTION("GOOGLETRANSLATE(B4705, ""fr"", ""en"")"),"felt felt")</f>
        <v>felt felt</v>
      </c>
    </row>
    <row r="4706">
      <c r="A4706" s="1">
        <v>5.0</v>
      </c>
      <c r="B4706" s="1" t="s">
        <v>4650</v>
      </c>
      <c r="C4706" t="str">
        <f>IFERROR(__xludf.DUMMYFUNCTION("GOOGLETRANSLATE(B4706, ""fr"", ""en"")"),"Responds to my expectations even more with the thing to cut corners Superb laminator! I recommend +++++ 👍")</f>
        <v>Responds to my expectations even more with the thing to cut corners Superb laminator! I recommend +++++ 👍</v>
      </c>
    </row>
    <row r="4707">
      <c r="A4707" s="1">
        <v>5.0</v>
      </c>
      <c r="B4707" s="1" t="s">
        <v>4651</v>
      </c>
      <c r="C4707" t="str">
        <f>IFERROR(__xludf.DUMMYFUNCTION("GOOGLETRANSLATE(B4707, ""fr"", ""en"")"),"Now The bracelet is nice, it was a gift for a friend who has enjoyed. I love the tree of life in the middle. Very fast delivery as indicated.")</f>
        <v>Now The bracelet is nice, it was a gift for a friend who has enjoyed. I love the tree of life in the middle. Very fast delivery as indicated.</v>
      </c>
    </row>
    <row r="4708">
      <c r="A4708" s="1">
        <v>5.0</v>
      </c>
      <c r="B4708" s="1" t="s">
        <v>4652</v>
      </c>
      <c r="C4708" t="str">
        <f>IFERROR(__xludf.DUMMYFUNCTION("GOOGLETRANSLATE(B4708, ""fr"", ""en"")"),"Although child Bought to give to a child. The stones have the good air and varied, but quite small. The description specifies the dimensions of the box: 12 x 10 cm. What makes 12 compartments of approximately 3 x 3 cm. The variety of small stones used to "&amp;"start a collection for a child. So good product.")</f>
        <v>Although child Bought to give to a child. The stones have the good air and varied, but quite small. The description specifies the dimensions of the box: 12 x 10 cm. What makes 12 compartments of approximately 3 x 3 cm. The variety of small stones used to start a collection for a child. So good product.</v>
      </c>
    </row>
    <row r="4709">
      <c r="A4709" s="1">
        <v>5.0</v>
      </c>
      <c r="B4709" s="1" t="s">
        <v>4653</v>
      </c>
      <c r="C4709" t="str">
        <f>IFERROR(__xludf.DUMMYFUNCTION("GOOGLETRANSLATE(B4709, ""fr"", ""en"")"),"Finally tennis for wide feet finally adapted tennis with wide feet and superior size to 47 !!! Often we do not find suitable shoes to wide feet in the upper sizes to 47. Result compelled to order two sizes above which is also very difficult to find even o"&amp;"n the internet and almost impossible in specialized stores")</f>
        <v>Finally tennis for wide feet finally adapted tennis with wide feet and superior size to 47 !!! Often we do not find suitable shoes to wide feet in the upper sizes to 47. Result compelled to order two sizes above which is also very difficult to find even on the internet and almost impossible in specialized stores</v>
      </c>
    </row>
    <row r="4710">
      <c r="A4710" s="1">
        <v>5.0</v>
      </c>
      <c r="B4710" s="1" t="s">
        <v>4654</v>
      </c>
      <c r="C4710" t="str">
        <f>IFERROR(__xludf.DUMMYFUNCTION("GOOGLETRANSLATE(B4710, ""fr"", ""en"")"),"a classic - still effective the ultimate weapon near the litter of cats. no need to do to burn the paper of Armenia is already effective")</f>
        <v>a classic - still effective the ultimate weapon near the litter of cats. no need to do to burn the paper of Armenia is already effective</v>
      </c>
    </row>
    <row r="4711">
      <c r="A4711" s="1">
        <v>2.0</v>
      </c>
      <c r="B4711" s="1" t="s">
        <v>4655</v>
      </c>
      <c r="C4711" t="str">
        <f>IFERROR(__xludf.DUMMYFUNCTION("GOOGLETRANSLATE(B4711, ""fr"", ""en"")"),"blah too just in size, does not rise enough in the stomach.")</f>
        <v>blah too just in size, does not rise enough in the stomach.</v>
      </c>
    </row>
    <row r="4712">
      <c r="A4712" s="1">
        <v>1.0</v>
      </c>
      <c r="B4712" s="1" t="s">
        <v>4656</v>
      </c>
      <c r="C4712" t="str">
        <f>IFERROR(__xludf.DUMMYFUNCTION("GOOGLETRANSLATE(B4712, ""fr"", ""en"")"),"Shoulder Bag This is a bag too big and not too strong")</f>
        <v>Shoulder Bag This is a bag too big and not too strong</v>
      </c>
    </row>
    <row r="4713">
      <c r="A4713" s="1">
        <v>1.0</v>
      </c>
      <c r="B4713" s="1" t="s">
        <v>4657</v>
      </c>
      <c r="C4713" t="str">
        <f>IFERROR(__xludf.DUMMYFUNCTION("GOOGLETRANSLATE(B4713, ""fr"", ""en"")"),"C C disappointing as nice bag but not great quality belt you can not squeeze it and it goes down only tt c considering the price is not cheap")</f>
        <v>C C disappointing as nice bag but not great quality belt you can not squeeze it and it goes down only tt c considering the price is not cheap</v>
      </c>
    </row>
    <row r="4714">
      <c r="A4714" s="1">
        <v>3.0</v>
      </c>
      <c r="B4714" s="1" t="s">
        <v>4658</v>
      </c>
      <c r="C4714" t="str">
        <f>IFERROR(__xludf.DUMMYFUNCTION("GOOGLETRANSLATE(B4714, ""fr"", ""en"")"),"A little too masculine for me Finally, too heavy and masculine for my taste. I too small for this wrist strap. Too bad because this is exactly the type of closure I was looking for my watch load 2.")</f>
        <v>A little too masculine for me Finally, too heavy and masculine for my taste. I too small for this wrist strap. Too bad because this is exactly the type of closure I was looking for my watch load 2.</v>
      </c>
    </row>
    <row r="4715">
      <c r="A4715" s="1">
        <v>4.0</v>
      </c>
      <c r="B4715" s="1" t="s">
        <v>4659</v>
      </c>
      <c r="C4715" t="str">
        <f>IFERROR(__xludf.DUMMYFUNCTION("GOOGLETRANSLATE(B4715, ""fr"", ""en"")"),"Good quality product J bought this product because going on holiday and could no longer m sun exposure too, so I have bought this product that is very comfortable to wear.")</f>
        <v>Good quality product J bought this product because going on holiday and could no longer m sun exposure too, so I have bought this product that is very comfortable to wear.</v>
      </c>
    </row>
    <row r="4716">
      <c r="A4716" s="1">
        <v>4.0</v>
      </c>
      <c r="B4716" s="1" t="s">
        <v>4660</v>
      </c>
      <c r="C4716" t="str">
        <f>IFERROR(__xludf.DUMMYFUNCTION("GOOGLETRANSLATE(B4716, ""fr"", ""en"")"),"Quality worthy of Bose. Very good quality, be it sound, aesthetically, I almost any door throughout the day, sometimes I forget that it is there.")</f>
        <v>Quality worthy of Bose. Very good quality, be it sound, aesthetically, I almost any door throughout the day, sometimes I forget that it is there.</v>
      </c>
    </row>
    <row r="4717">
      <c r="A4717" s="1">
        <v>4.0</v>
      </c>
      <c r="B4717" s="1" t="s">
        <v>4661</v>
      </c>
      <c r="C4717" t="str">
        <f>IFERROR(__xludf.DUMMYFUNCTION("GOOGLETRANSLATE(B4717, ""fr"", ""en"")"),"Done the job but could do better Although a bit too massive for me (= heavy and bulky), it is pleasant to use. For cons, the interface could be greatly improved with optimized input modes: I liked that the last special characters are displayed first, inst"&amp;"ead of every time need to look for the 5th line, 3rd column :-(")</f>
        <v>Done the job but could do better Although a bit too massive for me (= heavy and bulky), it is pleasant to use. For cons, the interface could be greatly improved with optimized input modes: I liked that the last special characters are displayed first, instead of every time need to look for the 5th line, 3rd column :-(</v>
      </c>
    </row>
    <row r="4718">
      <c r="A4718" s="1">
        <v>4.0</v>
      </c>
      <c r="B4718" s="1" t="s">
        <v>4662</v>
      </c>
      <c r="C4718" t="str">
        <f>IFERROR(__xludf.DUMMYFUNCTION("GOOGLETRANSLATE(B4718, ""fr"", ""en"")"),"Although Joli lot of essential oils, well presented, and rather solid bottles filled goods at the reception. I do not like necessarily all odors (tea tree, for example), and some are less concentrated than others, it will be necessary to put a little more"&amp;" into the diffuser.")</f>
        <v>Although Joli lot of essential oils, well presented, and rather solid bottles filled goods at the reception. I do not like necessarily all odors (tea tree, for example), and some are less concentrated than others, it will be necessary to put a little more into the diffuser.</v>
      </c>
    </row>
    <row r="4719">
      <c r="A4719" s="1">
        <v>5.0</v>
      </c>
      <c r="B4719" s="1" t="s">
        <v>4663</v>
      </c>
      <c r="C4719" t="str">
        <f>IFERROR(__xludf.DUMMYFUNCTION("GOOGLETRANSLATE(B4719, ""fr"", ""en"")"),"Excellent quality / price Current use Very compact and cute")</f>
        <v>Excellent quality / price Current use Very compact and cute</v>
      </c>
    </row>
    <row r="4720">
      <c r="A4720" s="1">
        <v>5.0</v>
      </c>
      <c r="B4720" s="1" t="s">
        <v>4664</v>
      </c>
      <c r="C4720" t="str">
        <f>IFERROR(__xludf.DUMMYFUNCTION("GOOGLETRANSLATE(B4720, ""fr"", ""en"")"),"Excellent For a first experience, I found the perfect really I was skeptical but the quality is there (using galaxy wearable) and aesthetics is really good 😊")</f>
        <v>Excellent For a first experience, I found the perfect really I was skeptical but the quality is there (using galaxy wearable) and aesthetics is really good 😊</v>
      </c>
    </row>
    <row r="4721">
      <c r="A4721" s="1">
        <v>5.0</v>
      </c>
      <c r="B4721" s="1" t="s">
        <v>4665</v>
      </c>
      <c r="C4721" t="str">
        <f>IFERROR(__xludf.DUMMYFUNCTION("GOOGLETRANSLATE(B4721, ""fr"", ""en"")"),"Bluetooth headsets ideal for sports These Bluetooth headsets are of good quality. Supplied with their charging case, very convenient to prolong the battery life. These headphones are compatible Bluetooth 5.0. A noise reduction function is present. Also th"&amp;"ey are so tight perfectly resistant to perspiration. A microphone is present on these headphones. The autonomy of these headphones is very good. In short, after several days of testing these headphones are ideal for the sport. I highly recommend.")</f>
        <v>Bluetooth headsets ideal for sports These Bluetooth headsets are of good quality. Supplied with their charging case, very convenient to prolong the battery life. These headphones are compatible Bluetooth 5.0. A noise reduction function is present. Also they are so tight perfectly resistant to perspiration. A microphone is present on these headphones. The autonomy of these headphones is very good. In short, after several days of testing these headphones are ideal for the sport. I highly recommend.</v>
      </c>
    </row>
    <row r="4722">
      <c r="A4722" s="1">
        <v>5.0</v>
      </c>
      <c r="B4722" s="1" t="s">
        <v>4666</v>
      </c>
      <c r="C4722" t="str">
        <f>IFERROR(__xludf.DUMMYFUNCTION("GOOGLETRANSLATE(B4722, ""fr"", ""en"")"),"Timeless True to the brand")</f>
        <v>Timeless True to the brand</v>
      </c>
    </row>
    <row r="4723">
      <c r="A4723" s="1">
        <v>5.0</v>
      </c>
      <c r="B4723" s="1" t="s">
        <v>4667</v>
      </c>
      <c r="C4723" t="str">
        <f>IFERROR(__xludf.DUMMYFUNCTION("GOOGLETRANSLATE(B4723, ""fr"", ""en"")"),"Top Perfect! Unbeatable price ! A classic ! The product I received is authentic")</f>
        <v>Top Perfect! Unbeatable price ! A classic ! The product I received is authentic</v>
      </c>
    </row>
    <row r="4724">
      <c r="A4724" s="1">
        <v>5.0</v>
      </c>
      <c r="B4724" s="1" t="s">
        <v>4668</v>
      </c>
      <c r="C4724" t="str">
        <f>IFERROR(__xludf.DUMMYFUNCTION("GOOGLETRANSLATE(B4724, ""fr"", ""en"")"),"Beautiful item Beautiful earrings, elegant silver and pearl with gold edging. Delivered quickly. Super in this holiday season.")</f>
        <v>Beautiful item Beautiful earrings, elegant silver and pearl with gold edging. Delivered quickly. Super in this holiday season.</v>
      </c>
    </row>
    <row r="4725">
      <c r="A4725" s="1">
        <v>5.0</v>
      </c>
      <c r="B4725" s="1" t="s">
        <v>4669</v>
      </c>
      <c r="C4725" t="str">
        <f>IFERROR(__xludf.DUMMYFUNCTION("GOOGLETRANSLATE(B4725, ""fr"", ""en"")"),"Very satisfied Very nice pendant with the chain! Good quality A nice idea for small gift Price Done effect")</f>
        <v>Very satisfied Very nice pendant with the chain! Good quality A nice idea for small gift Price Done effect</v>
      </c>
    </row>
    <row r="4726">
      <c r="A4726" s="1">
        <v>5.0</v>
      </c>
      <c r="B4726" s="1" t="s">
        <v>4670</v>
      </c>
      <c r="C4726" t="str">
        <f>IFERROR(__xludf.DUMMYFUNCTION("GOOGLETRANSLATE(B4726, ""fr"", ""en"")"),"Stereo Headset: Gritin in Ear super metallic stereo headset just Whaooo !!! The TOP her it's like in a movie theater with sound - cinema !!! very good helmet that I recommend and I'll wait a little longer to try a few days and if I am still satisfied, I'l"&amp;"l buy another probably even two; And What Price !!! ha yes I forgot sent her little cute and cuddly black bag !!! very happy too !!! ha yes also sends perfect !!!")</f>
        <v>Stereo Headset: Gritin in Ear super metallic stereo headset just Whaooo !!! The TOP her it's like in a movie theater with sound - cinema !!! very good helmet that I recommend and I'll wait a little longer to try a few days and if I am still satisfied, I'll buy another probably even two; And What Price !!! ha yes I forgot sent her little cute and cuddly black bag !!! very happy too !!! ha yes also sends perfect !!!</v>
      </c>
    </row>
    <row r="4727">
      <c r="A4727" s="1">
        <v>5.0</v>
      </c>
      <c r="B4727" s="1" t="s">
        <v>2457</v>
      </c>
      <c r="C4727" t="str">
        <f>IFERROR(__xludf.DUMMYFUNCTION("GOOGLETRANSLATE(B4727, ""fr"", ""en"")"),"Ok Ok")</f>
        <v>Ok Ok</v>
      </c>
    </row>
    <row r="4728">
      <c r="A4728" s="1">
        <v>5.0</v>
      </c>
      <c r="B4728" s="1" t="s">
        <v>4671</v>
      </c>
      <c r="C4728" t="str">
        <f>IFERROR(__xludf.DUMMYFUNCTION("GOOGLETRANSLATE(B4728, ""fr"", ""en"")"),"Well it's going")</f>
        <v>Well it's going</v>
      </c>
    </row>
    <row r="4729">
      <c r="A4729" s="1">
        <v>5.0</v>
      </c>
      <c r="B4729" s="1" t="s">
        <v>4672</v>
      </c>
      <c r="C4729" t="str">
        <f>IFERROR(__xludf.DUMMYFUNCTION("GOOGLETRANSLATE(B4729, ""fr"", ""en"")"),"Safety shoes Good quality. Anti slip, safety shell. Great for work")</f>
        <v>Safety shoes Good quality. Anti slip, safety shell. Great for work</v>
      </c>
    </row>
    <row r="4730">
      <c r="A4730" s="1">
        <v>5.0</v>
      </c>
      <c r="B4730" s="1" t="s">
        <v>4673</v>
      </c>
      <c r="C4730" t="str">
        <f>IFERROR(__xludf.DUMMYFUNCTION("GOOGLETRANSLATE(B4730, ""fr"", ""en"")"),"Very good pair of comfortable boots")</f>
        <v>Very good pair of comfortable boots</v>
      </c>
    </row>
    <row r="4731">
      <c r="A4731" s="1">
        <v>5.0</v>
      </c>
      <c r="B4731" s="1" t="s">
        <v>4674</v>
      </c>
      <c r="C4731" t="str">
        <f>IFERROR(__xludf.DUMMYFUNCTION("GOOGLETRANSLATE(B4731, ""fr"", ""en"")"),"Okay I ordered 100E great size. I use it for sports, very nice.")</f>
        <v>Okay I ordered 100E great size. I use it for sports, very nice.</v>
      </c>
    </row>
    <row r="4732">
      <c r="A4732" s="1">
        <v>5.0</v>
      </c>
      <c r="B4732" s="1" t="s">
        <v>4675</v>
      </c>
      <c r="C4732" t="str">
        <f>IFERROR(__xludf.DUMMYFUNCTION("GOOGLETRANSLATE(B4732, ""fr"", ""en"")"),"What happiness! &lt;Div id = ""video-block-R1R3SJLI7IJVQY"" class = ""a-section-spacing-small in-spacing-top mini video-block""&gt; &lt;/ div&gt; &lt;input type = ""hidden"" name = """" value = ""https://images-eu.ssl-images-amazon.com/images/I/A1TcrunpjIS.mp4"" class ="&amp;" ""video-url""&gt; &lt;input type = ""hidden"" name = """" value = ""https: //images-eu.ssl-images-amazon.com/images/I/81triRza4XS.png ""class ="" video-slate-img-url ""&gt; &amp; nbsp; As mobile shopping, and so much walking throughout the day my feet hurt. I bought "&amp;"this foot massager for 4 days and I'm happy, especially my feet. The device is easy to use, just plug and choose the pressure level. 2 types of massage or by wheel or by pressure. There is also a mode that allows heat to soothe the feet. That happiness. A"&amp;" small complaint, we must get used to the masseur because at first it can hurt massaging strong matter of habit. Otherwise I am quite satisfied with this machine")</f>
        <v>What happiness! &lt;Div id = "video-block-R1R3SJLI7IJVQY" class = "a-section-spacing-small in-spacing-top mini video-block"&gt; &lt;/ div&gt; &lt;input type = "hidden" name = "" value = "https://images-eu.ssl-images-amazon.com/images/I/A1TcrunpjIS.mp4" class = "video-url"&gt; &lt;input type = "hidden" name = "" value = "https: //images-eu.ssl-images-amazon.com/images/I/81triRza4XS.png "class =" video-slate-img-url "&gt; &amp; nbsp; As mobile shopping, and so much walking throughout the day my feet hurt. I bought this foot massager for 4 days and I'm happy, especially my feet. The device is easy to use, just plug and choose the pressure level. 2 types of massage or by wheel or by pressure. There is also a mode that allows heat to soothe the feet. That happiness. A small complaint, we must get used to the masseur because at first it can hurt massaging strong matter of habit. Otherwise I am quite satisfied with this machine</v>
      </c>
    </row>
    <row r="4733">
      <c r="A4733" s="1">
        <v>5.0</v>
      </c>
      <c r="B4733" s="1" t="s">
        <v>4676</v>
      </c>
      <c r="C4733" t="str">
        <f>IFERROR(__xludf.DUMMYFUNCTION("GOOGLETRANSLATE(B4733, ""fr"", ""en"")"),"Beautiful evolution I just replaced my old printer brother after 10 years of loyal service it was time to change. I must say that I am also happy toujorus Brother, the big plus is the R / V functionality.")</f>
        <v>Beautiful evolution I just replaced my old printer brother after 10 years of loyal service it was time to change. I must say that I am also happy toujorus Brother, the big plus is the R / V functionality.</v>
      </c>
    </row>
    <row r="4734">
      <c r="A4734" s="1">
        <v>5.0</v>
      </c>
      <c r="B4734" s="1" t="s">
        <v>4677</v>
      </c>
      <c r="C4734" t="str">
        <f>IFERROR(__xludf.DUMMYFUNCTION("GOOGLETRANSLATE(B4734, ""fr"", ""en"")"),"I used effective once this product. It cleans well.")</f>
        <v>I used effective once this product. It cleans well.</v>
      </c>
    </row>
    <row r="4735">
      <c r="A4735" s="1">
        <v>2.0</v>
      </c>
      <c r="B4735" s="1" t="s">
        <v>4678</v>
      </c>
      <c r="C4735" t="str">
        <f>IFERROR(__xludf.DUMMYFUNCTION("GOOGLETRANSLATE(B4735, ""fr"", ""en"")"),"empties all possible speed to 400 pages. If we print 200, it's the end of the world. Soon independent tests on the ink cartridge manufacturer, as with diesel engines? Why did you always need to lie to sell a product?")</f>
        <v>empties all possible speed to 400 pages. If we print 200, it's the end of the world. Soon independent tests on the ink cartridge manufacturer, as with diesel engines? Why did you always need to lie to sell a product?</v>
      </c>
    </row>
    <row r="4736">
      <c r="A4736" s="1">
        <v>1.0</v>
      </c>
      <c r="B4736" s="1" t="s">
        <v>4679</v>
      </c>
      <c r="C4736" t="str">
        <f>IFERROR(__xludf.DUMMYFUNCTION("GOOGLETRANSLATE(B4736, ""fr"", ""en"")"),"Disappointed ... damaged product. I do not know how is it that the comments are as good, but I'm pretty disappointed with these headphones for my part. First, the right earpiece tends to sizzle. The product seems defective ... do I request a refund? Then "&amp;"praricité level is very average. The cable is very long. He takes everywhere, and almost happened to me at the knees when I'm up and I want my laptop in the hands for normal use. Also, the volume knob is not practical either. I thought it would buttons di"&amp;"rectly control the volume of the smartphone. However it is independent. I have to control the volume of the unit and the headphone volume ... positive note, the foam is very innovative and gives a great record of insulation and comfort! Too bad for all th"&amp;"ese negatives ... [EDIT] Well, finally, the listener shrivelling has finally let go. A day and a half of use.")</f>
        <v>Disappointed ... damaged product. I do not know how is it that the comments are as good, but I'm pretty disappointed with these headphones for my part. First, the right earpiece tends to sizzle. The product seems defective ... do I request a refund? Then praricité level is very average. The cable is very long. He takes everywhere, and almost happened to me at the knees when I'm up and I want my laptop in the hands for normal use. Also, the volume knob is not practical either. I thought it would buttons directly control the volume of the smartphone. However it is independent. I have to control the volume of the unit and the headphone volume ... positive note, the foam is very innovative and gives a great record of insulation and comfort! Too bad for all these negatives ... [EDIT] Well, finally, the listener shrivelling has finally let go. A day and a half of use.</v>
      </c>
    </row>
    <row r="4737">
      <c r="A4737" s="1">
        <v>3.0</v>
      </c>
      <c r="B4737" s="1" t="s">
        <v>4680</v>
      </c>
      <c r="C4737" t="str">
        <f>IFERROR(__xludf.DUMMYFUNCTION("GOOGLETRANSLATE(B4737, ""fr"", ""en"")"),"Comes off rather quickly on Mixed review period because at the time it adheres quite well but over time it will go through the box ""to replace"" here if it helps out very well and I still have at home")</f>
        <v>Comes off rather quickly on Mixed review period because at the time it adheres quite well but over time it will go through the box "to replace" here if it helps out very well and I still have at home</v>
      </c>
    </row>
    <row r="4738">
      <c r="A4738" s="1">
        <v>3.0</v>
      </c>
      <c r="B4738" s="1" t="s">
        <v>4681</v>
      </c>
      <c r="C4738" t="str">
        <f>IFERROR(__xludf.DUMMYFUNCTION("GOOGLETRANSLATE(B4738, ""fr"", ""en"")"),"stamp printing for labels To edit the stamps on the site of the station, but when printed stamps are not quite full")</f>
        <v>stamp printing for labels To edit the stamps on the site of the station, but when printed stamps are not quite full</v>
      </c>
    </row>
    <row r="4739">
      <c r="A4739" s="1">
        <v>4.0</v>
      </c>
      <c r="B4739" s="1" t="s">
        <v>4682</v>
      </c>
      <c r="C4739" t="str">
        <f>IFERROR(__xludf.DUMMYFUNCTION("GOOGLETRANSLATE(B4739, ""fr"", ""en"")"),"Of the 3 correct product packages, I received one that was pierced (2 holes in the bottom of the bag). He lacked still 100 grams. Otherwise other products do their weight, 514 grams (plastic bag dispenser and including)")</f>
        <v>Of the 3 correct product packages, I received one that was pierced (2 holes in the bottom of the bag). He lacked still 100 grams. Otherwise other products do their weight, 514 grams (plastic bag dispenser and including)</v>
      </c>
    </row>
    <row r="4740">
      <c r="A4740" s="1">
        <v>4.0</v>
      </c>
      <c r="B4740" s="1" t="s">
        <v>4683</v>
      </c>
      <c r="C4740" t="str">
        <f>IFERROR(__xludf.DUMMYFUNCTION("GOOGLETRANSLATE(B4740, ""fr"", ""en"")"),"Produced entirely correct That son of headphones without the UMI brand delivered in their box with a USB cable. For information, we tested them, with my daughter, we have iPhone and also the famous Earpods the Apple brand and ... POSITIVE FEATURES: - They"&amp;" are beautiful and the case received is ""chic"": very good impression at the reception. - The connection to the phone is made easily and quickly. Hardly the headphones out of their box, they are detected by the phone. To connect them, is simple: go to """&amp;"Settings"" then ""Bluetooth"" and select ""Wireless earphone W"". And it's done ... - To connect these headphones have to get out of the box and not just open it. - These headphones, unlike EarPods, can be used with all types of mobile phones, and not jus"&amp;"t with Apple. - Each headphones have several features not just one unlike EarPods. For example, 1-click on any headphones makes the music paused, click the new one is re-started. 2 quick successive clicks on the left ear can increase the sound, 3 quick su"&amp;"ccessive clicks on the same headset to decrease the volume. On the right earpiece, you will have the same opportunities but doing the opposite ... - The charging time of the case is about 60 minutes. - The establishment of headphones is without difficulti"&amp;"es and these rather tight fit but we found them a little less comfortable ""wearing"" the EarPods. - In the box you will find 3 bright spot. The middle one concerns the case and shows its load. The other 2 points of light (right and left) show the load of"&amp;" each of the two earphones. Practical and well thought out. - On your phone screen, top right, a ""headset"" symbol demonstrates the connection of headphones: it means that it works perfectly. Another symbol, a pipe, placed right next to the helmet, refle"&amp;"cts the charge level of the headphones. - You also have the charge level of the battery is displayed as a percentage on your phone screen (the information): ex. 100% ... And then there is accurate! - Even if you remove one single listener, the music conti"&amp;"nues to play in the earpiece remained in place. With EarPods, the music totally cut when removing even just only 1 single earphone. - The ""coverage"" of background noise is quite correct even if it is a little worse than Apple EarPods. But it is already "&amp;"very well ... - The charge of the case is as simple: just plug the supplied cable into it and connect the other end to a computer via USB. NEGATIVE POINTS: - Be careful to match the smaller sensors headphones to those present in the limp when you put them"&amp;" to the load. There is a magnet system but sometimes it falls ""no battery"" and then the load is not done due to poor contact. You just stay a little careful on this point. A bright dot (blue or red) on the headphones or the housing is a sign of a good f"&amp;"it between the sensors. - As regards the central charging indicator (of the housing), it is blue, the case is loaded between 30% and 100%, if it is red, the case is loaded at less than 30%. It is not more specific than that! So when it is red, it is advis"&amp;"able to switch to load ... Ditto for headphones, if the indicator light on the case is red, then they are in charge ... - The sound is good, clear and accurate but we found it ""less"" wraparound ""less"" cocoon ""with the Apple earphones -.. you will nee"&amp;"d to acquire a power outlet using a USB port if you want to recharge the housing sector over there in no bad ... tHE FINAL provided. headphones an entirely correct quality and do a good job the trouble is we do not have their price, so it is difficult to "&amp;"comment on. quality / price of this equipment. if they are worth around 50/60 €, then they are very competitive. if they are around the price of EarPods, so I orienterai my choice rather to Apple if I had to buy. we therefore lacks essential information t"&amp;"o be more precise on this point ...")</f>
        <v>Produced entirely correct That son of headphones without the UMI brand delivered in their box with a USB cable. For information, we tested them, with my daughter, we have iPhone and also the famous Earpods the Apple brand and ... POSITIVE FEATURES: - They are beautiful and the case received is "chic": very good impression at the reception. - The connection to the phone is made easily and quickly. Hardly the headphones out of their box, they are detected by the phone. To connect them, is simple: go to "Settings" then "Bluetooth" and select "Wireless earphone W". And it's done ... - To connect these headphones have to get out of the box and not just open it. - These headphones, unlike EarPods, can be used with all types of mobile phones, and not just with Apple. - Each headphones have several features not just one unlike EarPods. For example, 1-click on any headphones makes the music paused, click the new one is re-started. 2 quick successive clicks on the left ear can increase the sound, 3 quick successive clicks on the same headset to decrease the volume. On the right earpiece, you will have the same opportunities but doing the opposite ... - The charging time of the case is about 60 minutes. - The establishment of headphones is without difficulties and these rather tight fit but we found them a little less comfortable "wearing" the EarPods. - In the box you will find 3 bright spot. The middle one concerns the case and shows its load. The other 2 points of light (right and left) show the load of each of the two earphones. Practical and well thought out. - On your phone screen, top right, a "headset" symbol demonstrates the connection of headphones: it means that it works perfectly. Another symbol, a pipe, placed right next to the helmet, reflects the charge level of the headphones. - You also have the charge level of the battery is displayed as a percentage on your phone screen (the information): ex. 100% ... And then there is accurate! - Even if you remove one single listener, the music continues to play in the earpiece remained in place. With EarPods, the music totally cut when removing even just only 1 single earphone. - The "coverage" of background noise is quite correct even if it is a little worse than Apple EarPods. But it is already very well ... - The charge of the case is as simple: just plug the supplied cable into it and connect the other end to a computer via USB. NEGATIVE POINTS: - Be careful to match the smaller sensors headphones to those present in the limp when you put them to the load. There is a magnet system but sometimes it falls "no battery" and then the load is not done due to poor contact. You just stay a little careful on this point. A bright dot (blue or red) on the headphones or the housing is a sign of a good fit between the sensors. - As regards the central charging indicator (of the housing), it is blue, the case is loaded between 30% and 100%, if it is red, the case is loaded at less than 30%. It is not more specific than that! So when it is red, it is advisable to switch to load ... Ditto for headphones, if the indicator light on the case is red, then they are in charge ... - The sound is good, clear and accurate but we found it "less" wraparound "less" cocoon "with the Apple earphones -.. you will need to acquire a power outlet using a USB port if you want to recharge the housing sector over there in no bad ... tHE FINAL provided. headphones an entirely correct quality and do a good job the trouble is we do not have their price, so it is difficult to comment on. quality / price of this equipment. if they are worth around 50/60 €, then they are very competitive. if they are around the price of EarPods, so I orienterai my choice rather to Apple if I had to buy. we therefore lacks essential information to be more precise on this point ...</v>
      </c>
    </row>
    <row r="4741">
      <c r="A4741" s="1">
        <v>4.0</v>
      </c>
      <c r="B4741" s="1" t="s">
        <v>4684</v>
      </c>
      <c r="C4741" t="str">
        <f>IFERROR(__xludf.DUMMYFUNCTION("GOOGLETRANSLATE(B4741, ""fr"", ""en"")"),"Good quality / price Bought there is no little yet tested from every angle, but for everyday use I needed, is very decent for its price. Not the best comfort I could have (the contact on the ears is a little too far) and the hoop at an odd shape (not clos"&amp;"e enough to the skull for my taste) but easily connects to peripherals, once the helping hand made change songs, pause ... is intuitive and the sound is really not bad considering the price I expected much less.")</f>
        <v>Good quality / price Bought there is no little yet tested from every angle, but for everyday use I needed, is very decent for its price. Not the best comfort I could have (the contact on the ears is a little too far) and the hoop at an odd shape (not close enough to the skull for my taste) but easily connects to peripherals, once the helping hand made change songs, pause ... is intuitive and the sound is really not bad considering the price I expected much less.</v>
      </c>
    </row>
    <row r="4742">
      <c r="A4742" s="1">
        <v>4.0</v>
      </c>
      <c r="B4742" s="1" t="s">
        <v>4685</v>
      </c>
      <c r="C4742" t="str">
        <f>IFERROR(__xludf.DUMMYFUNCTION("GOOGLETRANSLATE(B4742, ""fr"", ""en"")"),"cat slippers I bought these shoes for my daughters when sleep at home. She loves cats. I hope you will like it and find it comfortable")</f>
        <v>cat slippers I bought these shoes for my daughters when sleep at home. She loves cats. I hope you will like it and find it comfortable</v>
      </c>
    </row>
    <row r="4743">
      <c r="A4743" s="1">
        <v>4.0</v>
      </c>
      <c r="B4743" s="1" t="s">
        <v>4686</v>
      </c>
      <c r="C4743" t="str">
        <f>IFERROR(__xludf.DUMMYFUNCTION("GOOGLETRANSLATE(B4743, ""fr"", ""en"")"),"Excellent As described, it works perfectly with the adapter comes with iPhone 8. I put four stars because of the fragility of the cable.")</f>
        <v>Excellent As described, it works perfectly with the adapter comes with iPhone 8. I put four stars because of the fragility of the cable.</v>
      </c>
    </row>
    <row r="4744">
      <c r="A4744" s="1">
        <v>5.0</v>
      </c>
      <c r="B4744" s="1" t="s">
        <v>4687</v>
      </c>
      <c r="C4744" t="str">
        <f>IFERROR(__xludf.DUMMYFUNCTION("GOOGLETRANSLATE(B4744, ""fr"", ""en"")"),"Discreet and nice I received the bracelet on time even if Amazon believes the late see lost .. It is personalized with my choices and this makes it even if it is not set.")</f>
        <v>Discreet and nice I received the bracelet on time even if Amazon believes the late see lost .. It is personalized with my choices and this makes it even if it is not set.</v>
      </c>
    </row>
    <row r="4745">
      <c r="A4745" s="1">
        <v>5.0</v>
      </c>
      <c r="B4745" s="1" t="s">
        <v>4688</v>
      </c>
      <c r="C4745" t="str">
        <f>IFERROR(__xludf.DUMMYFUNCTION("GOOGLETRANSLATE(B4745, ""fr"", ""en"")"),"Effective Very Happy")</f>
        <v>Effective Very Happy</v>
      </c>
    </row>
    <row r="4746">
      <c r="A4746" s="1">
        <v>5.0</v>
      </c>
      <c r="B4746" s="1" t="s">
        <v>4689</v>
      </c>
      <c r="C4746" t="str">
        <f>IFERROR(__xludf.DUMMYFUNCTION("GOOGLETRANSLATE(B4746, ""fr"", ""en"")"),"Genial Great. Convenient . Saves time n ideal temperature for baby 3 second. Great for warm as bottle and jar. Transmission to sterilize more super convenient with lots of space. I recommend")</f>
        <v>Genial Great. Convenient . Saves time n ideal temperature for baby 3 second. Great for warm as bottle and jar. Transmission to sterilize more super convenient with lots of space. I recommend</v>
      </c>
    </row>
    <row r="4747">
      <c r="A4747" s="1">
        <v>5.0</v>
      </c>
      <c r="B4747" s="1" t="s">
        <v>4690</v>
      </c>
      <c r="C4747" t="str">
        <f>IFERROR(__xludf.DUMMYFUNCTION("GOOGLETRANSLATE(B4747, ""fr"", ""en"")"),"Super Excellent teats")</f>
        <v>Super Excellent teats</v>
      </c>
    </row>
    <row r="4748">
      <c r="A4748" s="1">
        <v>5.0</v>
      </c>
      <c r="B4748" s="1" t="s">
        <v>4691</v>
      </c>
      <c r="C4748" t="str">
        <f>IFERROR(__xludf.DUMMYFUNCTION("GOOGLETRANSLATE(B4748, ""fr"", ""en"")"),"cheap and beautiful! I took my daughter for 42 makes of 41.5 and it's perfect. 42 euro for gazelles, as saying that it's a gift! she is very happy and shoes are very beautiful.")</f>
        <v>cheap and beautiful! I took my daughter for 42 makes of 41.5 and it's perfect. 42 euro for gazelles, as saying that it's a gift! she is very happy and shoes are very beautiful.</v>
      </c>
    </row>
    <row r="4749">
      <c r="A4749" s="1">
        <v>5.0</v>
      </c>
      <c r="B4749" s="1" t="s">
        <v>4692</v>
      </c>
      <c r="C4749" t="str">
        <f>IFERROR(__xludf.DUMMYFUNCTION("GOOGLETRANSLATE(B4749, ""fr"", ""en"")"),"CONVERSE WHITE T 37.5 Stunning! Never disappointed with this brand! the photo matches the model. Delivered on time. In the original box. I play 38, I followed the recommendations of buyers and I ordered a 1/2 size smaller. That's what it takes. I do not k"&amp;"now if the size 37 would have suited me (the 37.5 is slightly too large, although ...) but having tried the 37 CONVERSE in shops, he shod too small for me. I'm so glad of my purchase !")</f>
        <v>CONVERSE WHITE T 37.5 Stunning! Never disappointed with this brand! the photo matches the model. Delivered on time. In the original box. I play 38, I followed the recommendations of buyers and I ordered a 1/2 size smaller. That's what it takes. I do not know if the size 37 would have suited me (the 37.5 is slightly too large, although ...) but having tried the 37 CONVERSE in shops, he shod too small for me. I'm so glad of my purchase !</v>
      </c>
    </row>
    <row r="4750">
      <c r="A4750" s="1">
        <v>5.0</v>
      </c>
      <c r="B4750" s="1" t="s">
        <v>4693</v>
      </c>
      <c r="C4750" t="str">
        <f>IFERROR(__xludf.DUMMYFUNCTION("GOOGLETRANSLATE(B4750, ""fr"", ""en"")"),"No smell, beautiful color style looks good, no smell. The colors are beautiful and the style is generous. The fabric is elastic. Quick delivery. Five stars,")</f>
        <v>No smell, beautiful color style looks good, no smell. The colors are beautiful and the style is generous. The fabric is elastic. Quick delivery. Five stars,</v>
      </c>
    </row>
    <row r="4751">
      <c r="A4751" s="1">
        <v>5.0</v>
      </c>
      <c r="B4751" s="1" t="s">
        <v>4694</v>
      </c>
      <c r="C4751" t="str">
        <f>IFERROR(__xludf.DUMMYFUNCTION("GOOGLETRANSLATE(B4751, ""fr"", ""en"")"),"What's more item and delivery Meets description")</f>
        <v>What's more item and delivery Meets description</v>
      </c>
    </row>
    <row r="4752">
      <c r="A4752" s="1">
        <v>5.0</v>
      </c>
      <c r="B4752" s="1" t="s">
        <v>4695</v>
      </c>
      <c r="C4752" t="str">
        <f>IFERROR(__xludf.DUMMYFUNCTION("GOOGLETRANSLATE(B4752, ""fr"", ""en"")"),"Necklace and bracelet white gold Arriving late but its worth the wait. Now I hope that all will like my niece for her birthday")</f>
        <v>Necklace and bracelet white gold Arriving late but its worth the wait. Now I hope that all will like my niece for her birthday</v>
      </c>
    </row>
    <row r="4753">
      <c r="A4753" s="1">
        <v>5.0</v>
      </c>
      <c r="B4753" s="1" t="s">
        <v>4696</v>
      </c>
      <c r="C4753" t="str">
        <f>IFERROR(__xludf.DUMMYFUNCTION("GOOGLETRANSLATE(B4753, ""fr"", ""en"")"),"Nickel Impec already 5 or 6 washings and dryer, it does not shrink, does not damaged s brief good compared to some sweet discount to lose 2 sizes of washing")</f>
        <v>Nickel Impec already 5 or 6 washings and dryer, it does not shrink, does not damaged s brief good compared to some sweet discount to lose 2 sizes of washing</v>
      </c>
    </row>
    <row r="4754">
      <c r="A4754" s="1">
        <v>5.0</v>
      </c>
      <c r="B4754" s="1" t="s">
        <v>4697</v>
      </c>
      <c r="C4754" t="str">
        <f>IFERROR(__xludf.DUMMYFUNCTION("GOOGLETRANSLATE(B4754, ""fr"", ""en"")"),"Very delicate and tricky. I love this silver bracelet. First, the bracelet itself is really beautiful. I must say that this is the perfect jewelry accessory. It is smooth and comfortable to wear. Second, it was packed in a jewelry box with a separate velv"&amp;"et bag inside. The packaging is quite satisfactory. Finally, I am very happy with this purchase. Would highly recommend.")</f>
        <v>Very delicate and tricky. I love this silver bracelet. First, the bracelet itself is really beautiful. I must say that this is the perfect jewelry accessory. It is smooth and comfortable to wear. Second, it was packed in a jewelry box with a separate velvet bag inside. The packaging is quite satisfactory. Finally, I am very happy with this purchase. Would highly recommend.</v>
      </c>
    </row>
    <row r="4755">
      <c r="A4755" s="1">
        <v>5.0</v>
      </c>
      <c r="B4755" s="1" t="s">
        <v>4698</v>
      </c>
      <c r="C4755" t="str">
        <f>IFERROR(__xludf.DUMMYFUNCTION("GOOGLETRANSLATE(B4755, ""fr"", ""en"")"),"Superb set pendant and earrings Gift made myself for my birthday. The pendant and earrings are beautiful. I am not disappointed. The jewelry is sold with a small tissues to clean. Comes in a nice setting.")</f>
        <v>Superb set pendant and earrings Gift made myself for my birthday. The pendant and earrings are beautiful. I am not disappointed. The jewelry is sold with a small tissues to clean. Comes in a nice setting.</v>
      </c>
    </row>
    <row r="4756">
      <c r="A4756" s="1">
        <v>5.0</v>
      </c>
      <c r="B4756" s="1" t="s">
        <v>4699</v>
      </c>
      <c r="C4756" t="str">
        <f>IFERROR(__xludf.DUMMYFUNCTION("GOOGLETRANSLATE(B4756, ""fr"", ""en"")"),"Good times in perspective. My little girl who loves 2 years")</f>
        <v>Good times in perspective. My little girl who loves 2 years</v>
      </c>
    </row>
    <row r="4757">
      <c r="A4757" s="1">
        <v>5.0</v>
      </c>
      <c r="B4757" s="1" t="s">
        <v>4700</v>
      </c>
      <c r="C4757" t="str">
        <f>IFERROR(__xludf.DUMMYFUNCTION("GOOGLETRANSLATE(B4757, ""fr"", ""en"")"),"great shows this watch is quite effective the only criticism I would make it: it is not waterproof so no bathroom, no pool or beach")</f>
        <v>great shows this watch is quite effective the only criticism I would make it: it is not waterproof so no bathroom, no pool or beach</v>
      </c>
    </row>
    <row r="4758">
      <c r="A4758" s="1">
        <v>5.0</v>
      </c>
      <c r="B4758" s="1" t="s">
        <v>4701</v>
      </c>
      <c r="C4758" t="str">
        <f>IFERROR(__xludf.DUMMYFUNCTION("GOOGLETRANSLATE(B4758, ""fr"", ""en"")"),"handy and good quality A real pleasure: while my previous headphones were suffering from being carried in a bag, it hold the road: they fold themselves, find the necessary form. Otherwise, nothing to say about the sound, which is ample and quite ok, even "&amp;"for something as big beats and big basses.Tout fine for a product of this range. Nice finish, no wonder I often see people with the same model in the street ...")</f>
        <v>handy and good quality A real pleasure: while my previous headphones were suffering from being carried in a bag, it hold the road: they fold themselves, find the necessary form. Otherwise, nothing to say about the sound, which is ample and quite ok, even for something as big beats and big basses.Tout fine for a product of this range. Nice finish, no wonder I often see people with the same model in the street ...</v>
      </c>
    </row>
    <row r="4759">
      <c r="A4759" s="1">
        <v>2.0</v>
      </c>
      <c r="B4759" s="1" t="s">
        <v>4702</v>
      </c>
      <c r="C4759" t="str">
        <f>IFERROR(__xludf.DUMMYFUNCTION("GOOGLETRANSLATE(B4759, ""fr"", ""en"")"),"Not too ... I liked the same in white that fit me perfectly and I bought many times. I wanted to try black but black seems to me closer and suddenly less comfortable, or it is the leather which is less flexible. For style, they are not feminine at all. In"&amp;" short, a rather ugly effect. I have returned. I advise them white.")</f>
        <v>Not too ... I liked the same in white that fit me perfectly and I bought many times. I wanted to try black but black seems to me closer and suddenly less comfortable, or it is the leather which is less flexible. For style, they are not feminine at all. In short, a rather ugly effect. I have returned. I advise them white.</v>
      </c>
    </row>
    <row r="4760">
      <c r="A4760" s="1">
        <v>1.0</v>
      </c>
      <c r="B4760" s="1" t="s">
        <v>4703</v>
      </c>
      <c r="C4760" t="str">
        <f>IFERROR(__xludf.DUMMYFUNCTION("GOOGLETRANSLATE(B4760, ""fr"", ""en"")"),"Defective Small branches for holding the headphones arrived broken so I didn 't really have to try the product")</f>
        <v>Defective Small branches for holding the headphones arrived broken so I didn 't really have to try the product</v>
      </c>
    </row>
    <row r="4761">
      <c r="A4761" s="1">
        <v>1.0</v>
      </c>
      <c r="B4761" s="1" t="s">
        <v>4704</v>
      </c>
      <c r="C4761" t="str">
        <f>IFERROR(__xludf.DUMMYFUNCTION("GOOGLETRANSLATE(B4761, ""fr"", ""en"")"),"Sennheiser RS5000 Hello, tips are too large An ear pain appears when used too long 1 hour max Good quality Sound OK")</f>
        <v>Sennheiser RS5000 Hello, tips are too large An ear pain appears when used too long 1 hour max Good quality Sound OK</v>
      </c>
    </row>
    <row r="4762">
      <c r="A4762" s="1">
        <v>3.0</v>
      </c>
      <c r="B4762" s="1" t="s">
        <v>4705</v>
      </c>
      <c r="C4762" t="str">
        <f>IFERROR(__xludf.DUMMYFUNCTION("GOOGLETRANSLATE(B4762, ""fr"", ""en"")"),"shapely flush out the calves and thighs")</f>
        <v>shapely flush out the calves and thighs</v>
      </c>
    </row>
    <row r="4763">
      <c r="A4763" s="1">
        <v>3.0</v>
      </c>
      <c r="B4763" s="1" t="s">
        <v>4706</v>
      </c>
      <c r="C4763" t="str">
        <f>IFERROR(__xludf.DUMMYFUNCTION("GOOGLETRANSLATE(B4763, ""fr"", ""en"")"),"Although Fair")</f>
        <v>Although Fair</v>
      </c>
    </row>
    <row r="4764">
      <c r="A4764" s="1">
        <v>4.0</v>
      </c>
      <c r="B4764" s="1" t="s">
        <v>4707</v>
      </c>
      <c r="C4764" t="str">
        <f>IFERROR(__xludf.DUMMYFUNCTION("GOOGLETRANSLATE(B4764, ""fr"", ""en"")"),"Satisfactory but significant problem It is a beautiful set of tracksuit but size a little big, I ordered M to be certain, I L and normally it is still limited a little big.")</f>
        <v>Satisfactory but significant problem It is a beautiful set of tracksuit but size a little big, I ordered M to be certain, I L and normally it is still limited a little big.</v>
      </c>
    </row>
    <row r="4765">
      <c r="A4765" s="1">
        <v>4.0</v>
      </c>
      <c r="B4765" s="1" t="s">
        <v>4708</v>
      </c>
      <c r="C4765" t="str">
        <f>IFERROR(__xludf.DUMMYFUNCTION("GOOGLETRANSLATE(B4765, ""fr"", ""en"")"),"Goldman man Sweat It's a nice sweater to wear in mid-season, it corresponds to what I wanted. Color, size, are just (watch it large enough size,) I take M usually but S was enough. I washed it and he did not move, so good purchase.")</f>
        <v>Goldman man Sweat It's a nice sweater to wear in mid-season, it corresponds to what I wanted. Color, size, are just (watch it large enough size,) I take M usually but S was enough. I washed it and he did not move, so good purchase.</v>
      </c>
    </row>
    <row r="4766">
      <c r="A4766" s="1">
        <v>4.0</v>
      </c>
      <c r="B4766" s="1" t="s">
        <v>4709</v>
      </c>
      <c r="C4766" t="str">
        <f>IFERROR(__xludf.DUMMYFUNCTION("GOOGLETRANSLATE(B4766, ""fr"", ""en"")"),"Its balanced This circum-aural headset encompasses both ears. The helmet is comfortable (adjustable hoops) and the atria insulate well outside noise. The finish is superb but the buttons are small and difficult to distinguish the blind. The Bluetooth pair"&amp;"ing is traditional. The sound is really good, the bass a little less present on the JBL Live 400 more punchy but the sound is harmonious. Tested with several music (Coldplay Brigitte Datfpunk, Dire Straits), the sound is really good. Applying my JBL Headp"&amp;"hones equalizes the sound based on the type of music (Jazz, Vocal, Bass, ...). It also allows to choose its voice assistant (Google or Alexa) you can ""call"" by pressing the left ear. You can do research on the internet, hands in pockets or control your "&amp;"lights if you have set office in the respective applications. An orange charging cable is provided and a braided cable audio mas no textile bag as announced. A good helmet circum aural.")</f>
        <v>Its balanced This circum-aural headset encompasses both ears. The helmet is comfortable (adjustable hoops) and the atria insulate well outside noise. The finish is superb but the buttons are small and difficult to distinguish the blind. The Bluetooth pairing is traditional. The sound is really good, the bass a little less present on the JBL Live 400 more punchy but the sound is harmonious. Tested with several music (Coldplay Brigitte Datfpunk, Dire Straits), the sound is really good. Applying my JBL Headphones equalizes the sound based on the type of music (Jazz, Vocal, Bass, ...). It also allows to choose its voice assistant (Google or Alexa) you can "call" by pressing the left ear. You can do research on the internet, hands in pockets or control your lights if you have set office in the respective applications. An orange charging cable is provided and a braided cable audio mas no textile bag as announced. A good helmet circum aural.</v>
      </c>
    </row>
    <row r="4767">
      <c r="A4767" s="1">
        <v>4.0</v>
      </c>
      <c r="B4767" s="1" t="s">
        <v>4710</v>
      </c>
      <c r="C4767" t="str">
        <f>IFERROR(__xludf.DUMMYFUNCTION("GOOGLETRANSLATE(B4767, ""fr"", ""en"")"),"Compact and reliable Bought for my father who complained of being cold in the stomach the night in his EPHAD. Fills his role perfectly after him with a pretty big adjustment knob and progressive.")</f>
        <v>Compact and reliable Bought for my father who complained of being cold in the stomach the night in his EPHAD. Fills his role perfectly after him with a pretty big adjustment knob and progressive.</v>
      </c>
    </row>
    <row r="4768">
      <c r="A4768" s="1">
        <v>5.0</v>
      </c>
      <c r="B4768" s="1" t="s">
        <v>4711</v>
      </c>
      <c r="C4768" t="str">
        <f>IFERROR(__xludf.DUMMYFUNCTION("GOOGLETRANSLATE(B4768, ""fr"", ""en"")"),"Very useful Very useful")</f>
        <v>Very useful Very useful</v>
      </c>
    </row>
    <row r="4769">
      <c r="A4769" s="1">
        <v>5.0</v>
      </c>
      <c r="B4769" s="1" t="s">
        <v>4712</v>
      </c>
      <c r="C4769" t="str">
        <f>IFERROR(__xludf.DUMMYFUNCTION("GOOGLETRANSLATE(B4769, ""fr"", ""en"")"),"ticking silent is a watch that suits me quite sober, practical, strong, and quite my style, never late;")</f>
        <v>ticking silent is a watch that suits me quite sober, practical, strong, and quite my style, never late;</v>
      </c>
    </row>
    <row r="4770">
      <c r="A4770" s="1">
        <v>5.0</v>
      </c>
      <c r="B4770" s="1" t="s">
        <v>4713</v>
      </c>
      <c r="C4770" t="str">
        <f>IFERROR(__xludf.DUMMYFUNCTION("GOOGLETRANSLATE(B4770, ""fr"", ""en"")"),"Hyper comfortable It has a great maintenance to full support frame, very comfortable to wear and easy to adjust if necessary. I recommand it.")</f>
        <v>Hyper comfortable It has a great maintenance to full support frame, very comfortable to wear and easy to adjust if necessary. I recommand it.</v>
      </c>
    </row>
    <row r="4771">
      <c r="A4771" s="1">
        <v>5.0</v>
      </c>
      <c r="B4771" s="1" t="s">
        <v>4714</v>
      </c>
      <c r="C4771" t="str">
        <f>IFERROR(__xludf.DUMMYFUNCTION("GOOGLETRANSLATE(B4771, ""fr"", ""en"")"),"Catouche I am very satisfied with this product, it is consistent with the description and I recommend it very highly")</f>
        <v>Catouche I am very satisfied with this product, it is consistent with the description and I recommend it very highly</v>
      </c>
    </row>
    <row r="4772">
      <c r="A4772" s="1">
        <v>5.0</v>
      </c>
      <c r="B4772" s="1" t="s">
        <v>4715</v>
      </c>
      <c r="C4772" t="str">
        <f>IFERROR(__xludf.DUMMYFUNCTION("GOOGLETRANSLATE(B4772, ""fr"", ""en"")"),"Class and quality although this I took this brown bracelet for my boyfriend and he loves it. This one comes in a small black box, simple but very pretty and that can be reused to store the strap if needed. The strap is leather and very well finished and f"&amp;"lexible, I noticed that brought on the wrist of my boyfriend it gives a very elegant style and class, the color changes from black and stays sober enough to be in perfect accord different colors of shirts and sweaters. The bracelet is of excellent quality"&amp;", it's been a while that the door and she shows no signs of wear. I highly recommend this product. I think even a resume to offer Christmas.")</f>
        <v>Class and quality although this I took this brown bracelet for my boyfriend and he loves it. This one comes in a small black box, simple but very pretty and that can be reused to store the strap if needed. The strap is leather and very well finished and flexible, I noticed that brought on the wrist of my boyfriend it gives a very elegant style and class, the color changes from black and stays sober enough to be in perfect accord different colors of shirts and sweaters. The bracelet is of excellent quality, it's been a while that the door and she shows no signs of wear. I highly recommend this product. I think even a resume to offer Christmas.</v>
      </c>
    </row>
    <row r="4773">
      <c r="A4773" s="1">
        <v>5.0</v>
      </c>
      <c r="B4773" s="1" t="s">
        <v>4716</v>
      </c>
      <c r="C4773" t="str">
        <f>IFERROR(__xludf.DUMMYFUNCTION("GOOGLETRANSLATE(B4773, ""fr"", ""en"")"),"excellent product for septic tanks and any water any single person in the country, which has not blessed with letout sanitation, this product I tested and compared to other similar products is perfect. Whether for a septic system or septic tank, it remove"&amp;"s the risk of clogging and bad odors. This great product to use every six months is recommended, and this at a reasonable price. Claude72")</f>
        <v>excellent product for septic tanks and any water any single person in the country, which has not blessed with letout sanitation, this product I tested and compared to other similar products is perfect. Whether for a septic system or septic tank, it removes the risk of clogging and bad odors. This great product to use every six months is recommended, and this at a reasonable price. Claude72</v>
      </c>
    </row>
    <row r="4774">
      <c r="A4774" s="1">
        <v>5.0</v>
      </c>
      <c r="B4774" s="1" t="s">
        <v>4717</v>
      </c>
      <c r="C4774" t="str">
        <f>IFERROR(__xludf.DUMMYFUNCTION("GOOGLETRANSLATE(B4774, ""fr"", ""en"")"),"Comfortable Very comfortable easy maintenance consistent size ... is the picture ... I recommend.")</f>
        <v>Comfortable Very comfortable easy maintenance consistent size ... is the picture ... I recommend.</v>
      </c>
    </row>
    <row r="4775">
      <c r="A4775" s="1">
        <v>5.0</v>
      </c>
      <c r="B4775" s="1" t="s">
        <v>4718</v>
      </c>
      <c r="C4775" t="str">
        <f>IFERROR(__xludf.DUMMYFUNCTION("GOOGLETRANSLATE(B4775, ""fr"", ""en"")"),"Perfect small size but perfect just take a size larger than his. I do a good 39 and I took the 40 ca me will just")</f>
        <v>Perfect small size but perfect just take a size larger than his. I do a good 39 and I took the 40 ca me will just</v>
      </c>
    </row>
    <row r="4776">
      <c r="A4776" s="1">
        <v>5.0</v>
      </c>
      <c r="B4776" s="1" t="s">
        <v>4719</v>
      </c>
      <c r="C4776" t="str">
        <f>IFERROR(__xludf.DUMMYFUNCTION("GOOGLETRANSLATE(B4776, ""fr"", ""en"")"),"Perfect helmet is exactly what I wanted it answer my expectations. Delivery perfect as expected.")</f>
        <v>Perfect helmet is exactly what I wanted it answer my expectations. Delivery perfect as expected.</v>
      </c>
    </row>
    <row r="4777">
      <c r="A4777" s="1">
        <v>5.0</v>
      </c>
      <c r="B4777" s="1" t="s">
        <v>4720</v>
      </c>
      <c r="C4777" t="str">
        <f>IFERROR(__xludf.DUMMYFUNCTION("GOOGLETRANSLATE(B4777, ""fr"", ""en"")"),"Perfect Perfect for all types of impressions. My daughter is thrilled .. Perfect for photos of all its stars. thank you Amazon")</f>
        <v>Perfect Perfect for all types of impressions. My daughter is thrilled .. Perfect for photos of all its stars. thank you Amazon</v>
      </c>
    </row>
    <row r="4778">
      <c r="A4778" s="1">
        <v>5.0</v>
      </c>
      <c r="B4778" s="1" t="s">
        <v>4721</v>
      </c>
      <c r="C4778" t="str">
        <f>IFERROR(__xludf.DUMMYFUNCTION("GOOGLETRANSLATE(B4778, ""fr"", ""en"")"),"Ideal for learning to read Perfect")</f>
        <v>Ideal for learning to read Perfect</v>
      </c>
    </row>
    <row r="4779">
      <c r="A4779" s="1">
        <v>5.0</v>
      </c>
      <c r="B4779" s="1" t="s">
        <v>4722</v>
      </c>
      <c r="C4779" t="str">
        <f>IFERROR(__xludf.DUMMYFUNCTION("GOOGLETRANSLATE(B4779, ""fr"", ""en"")"),"Excellent value for money large capacity Practice")</f>
        <v>Excellent value for money large capacity Practice</v>
      </c>
    </row>
    <row r="4780">
      <c r="A4780" s="1">
        <v>5.0</v>
      </c>
      <c r="B4780" s="1" t="s">
        <v>4723</v>
      </c>
      <c r="C4780" t="str">
        <f>IFERROR(__xludf.DUMMYFUNCTION("GOOGLETRANSLATE(B4780, ""fr"", ""en"")"),"good product This bag is very suitable for my use, namely carrying a 10-inch tablet and headphones. 2 small pockets useful therein which are used to transport a cloth for the tablet. Very light but solid.")</f>
        <v>good product This bag is very suitable for my use, namely carrying a 10-inch tablet and headphones. 2 small pockets useful therein which are used to transport a cloth for the tablet. Very light but solid.</v>
      </c>
    </row>
    <row r="4781">
      <c r="A4781" s="1">
        <v>5.0</v>
      </c>
      <c r="B4781" s="1" t="s">
        <v>4724</v>
      </c>
      <c r="C4781" t="str">
        <f>IFERROR(__xludf.DUMMYFUNCTION("GOOGLETRANSLATE(B4781, ""fr"", ""en"")"),"Socks very good I use these socks for skiing and ski touring. They are warm and comfortable to wear. There are strips padded to protect the shin. And that is manufactured in Europe.")</f>
        <v>Socks very good I use these socks for skiing and ski touring. They are warm and comfortable to wear. There are strips padded to protect the shin. And that is manufactured in Europe.</v>
      </c>
    </row>
    <row r="4782">
      <c r="A4782" s="1">
        <v>5.0</v>
      </c>
      <c r="B4782" s="1" t="s">
        <v>4725</v>
      </c>
      <c r="C4782" t="str">
        <f>IFERROR(__xludf.DUMMYFUNCTION("GOOGLETRANSLATE(B4782, ""fr"", ""en"")"),"Offered pretty earrings to my daughter for her 11 years with the matching necklace. All enjoyed that. Good quality. The small box packaging is very nice. I recommend...")</f>
        <v>Offered pretty earrings to my daughter for her 11 years with the matching necklace. All enjoyed that. Good quality. The small box packaging is very nice. I recommend...</v>
      </c>
    </row>
    <row r="4783">
      <c r="A4783" s="1">
        <v>2.0</v>
      </c>
      <c r="B4783" s="1" t="s">
        <v>4726</v>
      </c>
      <c r="C4783" t="str">
        <f>IFERROR(__xludf.DUMMYFUNCTION("GOOGLETRANSLATE(B4783, ""fr"", ""en"")"),"brush too soft very soft brush, it seems not to clean and more personally I'm afraid the metal center abyss my bottles so the hair is too soft !!! cleans the nipple is not yours very well and when you clean it the body falls, more head spoils very quickly")</f>
        <v>brush too soft very soft brush, it seems not to clean and more personally I'm afraid the metal center abyss my bottles so the hair is too soft !!! cleans the nipple is not yours very well and when you clean it the body falls, more head spoils very quickly</v>
      </c>
    </row>
    <row r="4784">
      <c r="A4784" s="1">
        <v>1.0</v>
      </c>
      <c r="B4784" s="1" t="s">
        <v>4727</v>
      </c>
      <c r="C4784" t="str">
        <f>IFERROR(__xludf.DUMMYFUNCTION("GOOGLETRANSLATE(B4784, ""fr"", ""en"")"),"Poor quality large size, looks fake")</f>
        <v>Poor quality large size, looks fake</v>
      </c>
    </row>
    <row r="4785">
      <c r="A4785" s="1">
        <v>1.0</v>
      </c>
      <c r="B4785" s="1" t="s">
        <v>4728</v>
      </c>
      <c r="C4785" t="str">
        <f>IFERROR(__xludf.DUMMYFUNCTION("GOOGLETRANSLATE(B4785, ""fr"", ""en"")"),"H.S after 6 months of use the left earpiece emits more sound, return item at Samsung for repair, to follow ...")</f>
        <v>H.S after 6 months of use the left earpiece emits more sound, return item at Samsung for repair, to follow ...</v>
      </c>
    </row>
    <row r="4786">
      <c r="A4786" s="1">
        <v>3.0</v>
      </c>
      <c r="B4786" s="1" t="s">
        <v>4729</v>
      </c>
      <c r="C4786" t="str">
        <f>IFERROR(__xludf.DUMMYFUNCTION("GOOGLETRANSLATE(B4786, ""fr"", ""en"")"),"Well-I think it is not the same that we receive with laptops")</f>
        <v>Well-I think it is not the same that we receive with laptops</v>
      </c>
    </row>
    <row r="4787">
      <c r="A4787" s="1">
        <v>3.0</v>
      </c>
      <c r="B4787" s="1" t="s">
        <v>4730</v>
      </c>
      <c r="C4787" t="str">
        <f>IFERROR(__xludf.DUMMYFUNCTION("GOOGLETRANSLATE(B4787, ""fr"", ""en"")"),"First impressions Dodie -Tétine sensation + wide flat collar 0-6 months silicone speed 2 3.94e purchased by Amazon, delivered within 48 hours. It has two teats in the package. I get it now so that 3 stars because ""like"" the product is consistent with wh"&amp;"at I ordered, to do with use. On the advice of the saleswoman orchestra I bought the flow 1 and 2, flow 3 and 4 being really when we go to the very consistent.")</f>
        <v>First impressions Dodie -Tétine sensation + wide flat collar 0-6 months silicone speed 2 3.94e purchased by Amazon, delivered within 48 hours. It has two teats in the package. I get it now so that 3 stars because "like" the product is consistent with what I ordered, to do with use. On the advice of the saleswoman orchestra I bought the flow 1 and 2, flow 3 and 4 being really when we go to the very consistent.</v>
      </c>
    </row>
    <row r="4788">
      <c r="A4788" s="1">
        <v>4.0</v>
      </c>
      <c r="B4788" s="1" t="s">
        <v>4731</v>
      </c>
      <c r="C4788" t="str">
        <f>IFERROR(__xludf.DUMMYFUNCTION("GOOGLETRANSLATE(B4788, ""fr"", ""en"")"),"See with time Although no more")</f>
        <v>See with time Although no more</v>
      </c>
    </row>
    <row r="4789">
      <c r="A4789" s="1">
        <v>4.0</v>
      </c>
      <c r="B4789" s="1" t="s">
        <v>4732</v>
      </c>
      <c r="C4789" t="str">
        <f>IFERROR(__xludf.DUMMYFUNCTION("GOOGLETRANSLATE(B4789, ""fr"", ""en"")"),"Reading books alone I wanted more for my child to read that he could read these books alone are well suited.")</f>
        <v>Reading books alone I wanted more for my child to read that he could read these books alone are well suited.</v>
      </c>
    </row>
    <row r="4790">
      <c r="A4790" s="1">
        <v>4.0</v>
      </c>
      <c r="B4790" s="1" t="s">
        <v>4733</v>
      </c>
      <c r="C4790" t="str">
        <f>IFERROR(__xludf.DUMMYFUNCTION("GOOGLETRANSLATE(B4790, ""fr"", ""en"")"),"Unsurprisingly This paper known brand is effective .... sweet and packaging by 12 is economic. It is superior to no name that can be found in supermarkets")</f>
        <v>Unsurprisingly This paper known brand is effective .... sweet and packaging by 12 is economic. It is superior to no name that can be found in supermarkets</v>
      </c>
    </row>
    <row r="4791">
      <c r="A4791" s="1">
        <v>4.0</v>
      </c>
      <c r="B4791" s="1" t="s">
        <v>4734</v>
      </c>
      <c r="C4791" t="str">
        <f>IFERROR(__xludf.DUMMYFUNCTION("GOOGLETRANSLATE(B4791, ""fr"", ""en"")"),"Appreciable engine a bit noisy especially during the massage cervical 2x 2 balls, all the same size 1 power adapter + 1 car adapter 1 single program for sessions of 20 'with change of direction of rotation every 1' button ON / OFF, which also allows you t"&amp;"o turn on / off the balls, so the heating in the interrupt program 20 '. Long press to pause the program. 27 € for sale is top-flash I wonder what qu'apportent more or less Performers have 2x4 balls")</f>
        <v>Appreciable engine a bit noisy especially during the massage cervical 2x 2 balls, all the same size 1 power adapter + 1 car adapter 1 single program for sessions of 20 'with change of direction of rotation every 1' button ON / OFF, which also allows you to turn on / off the balls, so the heating in the interrupt program 20 '. Long press to pause the program. 27 € for sale is top-flash I wonder what qu'apportent more or less Performers have 2x4 balls</v>
      </c>
    </row>
    <row r="4792">
      <c r="A4792" s="1">
        <v>5.0</v>
      </c>
      <c r="B4792" s="1" t="s">
        <v>4735</v>
      </c>
      <c r="C4792" t="str">
        <f>IFERROR(__xludf.DUMMYFUNCTION("GOOGLETRANSLATE(B4792, ""fr"", ""en"")"),"Perfect Sneakers super light and comfortable to wear. Size corresponding to the controlled size. The style is nice. Good price for quality sneakers.")</f>
        <v>Perfect Sneakers super light and comfortable to wear. Size corresponding to the controlled size. The style is nice. Good price for quality sneakers.</v>
      </c>
    </row>
    <row r="4793">
      <c r="A4793" s="1">
        <v>5.0</v>
      </c>
      <c r="B4793" s="1" t="s">
        <v>4736</v>
      </c>
      <c r="C4793" t="str">
        <f>IFERROR(__xludf.DUMMYFUNCTION("GOOGLETRANSLATE(B4793, ""fr"", ""en"")"),"golden tip? Although I have many audio cables of all kinds, it is never enough, I do not understand. In short, I needed yet another stereo jack cable is one that I chose. Good cable of good quality, I hope to confirm in a year. For some reason that escape"&amp;"s me, the tips (the ""tip"") are golden, but not the rest of the jack ( ""ring"" and ground).")</f>
        <v>golden tip? Although I have many audio cables of all kinds, it is never enough, I do not understand. In short, I needed yet another stereo jack cable is one that I chose. Good cable of good quality, I hope to confirm in a year. For some reason that escapes me, the tips (the "tip") are golden, but not the rest of the jack ( "ring" and ground).</v>
      </c>
    </row>
    <row r="4794">
      <c r="A4794" s="1">
        <v>5.0</v>
      </c>
      <c r="B4794" s="1" t="s">
        <v>4737</v>
      </c>
      <c r="C4794" t="str">
        <f>IFERROR(__xludf.DUMMYFUNCTION("GOOGLETRANSLATE(B4794, ""fr"", ""en"")"),"Elegants and comfortable are my first Puma and I am very happy with the quality. Elegant and comfortable. The size is accurate")</f>
        <v>Elegants and comfortable are my first Puma and I am very happy with the quality. Elegant and comfortable. The size is accurate</v>
      </c>
    </row>
    <row r="4795">
      <c r="A4795" s="1">
        <v>5.0</v>
      </c>
      <c r="B4795" s="1" t="s">
        <v>4738</v>
      </c>
      <c r="C4795" t="str">
        <f>IFERROR(__xludf.DUMMYFUNCTION("GOOGLETRANSLATE(B4795, ""fr"", ""en"")"),"It is super awesome")</f>
        <v>It is super awesome</v>
      </c>
    </row>
    <row r="4796">
      <c r="A4796" s="1">
        <v>5.0</v>
      </c>
      <c r="B4796" s="1" t="s">
        <v>4739</v>
      </c>
      <c r="C4796" t="str">
        <f>IFERROR(__xludf.DUMMYFUNCTION("GOOGLETRANSLATE(B4796, ""fr"", ""en"")"),"man shoulder bag Order a pr aniv Impec, big enough without mastoque Lightweight, modern and Ravi")</f>
        <v>man shoulder bag Order a pr aniv Impec, big enough without mastoque Lightweight, modern and Ravi</v>
      </c>
    </row>
    <row r="4797">
      <c r="A4797" s="1">
        <v>5.0</v>
      </c>
      <c r="B4797" s="1" t="s">
        <v>4740</v>
      </c>
      <c r="C4797" t="str">
        <f>IFERROR(__xludf.DUMMYFUNCTION("GOOGLETRANSLATE(B4797, ""fr"", ""en"")"),"Great sound Excellent headphones, the sound is very good, and they are pleasant to wear")</f>
        <v>Great sound Excellent headphones, the sound is very good, and they are pleasant to wear</v>
      </c>
    </row>
    <row r="4798">
      <c r="A4798" s="1">
        <v>5.0</v>
      </c>
      <c r="B4798" s="1" t="s">
        <v>4741</v>
      </c>
      <c r="C4798" t="str">
        <f>IFERROR(__xludf.DUMMYFUNCTION("GOOGLETRANSLATE(B4798, ""fr"", ""en"")"),"elegant Pretty")</f>
        <v>elegant Pretty</v>
      </c>
    </row>
    <row r="4799">
      <c r="A4799" s="1">
        <v>5.0</v>
      </c>
      <c r="B4799" s="1" t="s">
        <v>4742</v>
      </c>
      <c r="C4799" t="str">
        <f>IFERROR(__xludf.DUMMYFUNCTION("GOOGLETRANSLATE(B4799, ""fr"", ""en"")"),"very beautiful satchel bag and practice; I take her everywhere with me, the colors are really nice and the clip on the front is also very convenient !! I put my papers my laptop my keys and a packet of tissues !!!")</f>
        <v>very beautiful satchel bag and practice; I take her everywhere with me, the colors are really nice and the clip on the front is also very convenient !! I put my papers my laptop my keys and a packet of tissues !!!</v>
      </c>
    </row>
    <row r="4800">
      <c r="A4800" s="1">
        <v>5.0</v>
      </c>
      <c r="B4800" s="1" t="s">
        <v>4743</v>
      </c>
      <c r="C4800" t="str">
        <f>IFERROR(__xludf.DUMMYFUNCTION("GOOGLETRANSLATE(B4800, ""fr"", ""en"")"),"Not bad for a watch feature Hybrid Aesthetically, the show is really well proportioned: it is not too thick unlike some connected watches. Technologically speaking, the Fossil Q application is pretty good for the hybrid and offers a lot of interesting fea"&amp;"tures to be set on all 3 shows the buttons from the following: - Journey time - Current date - Monitoring targets (several objectives configurable) - music management (increase / decrease the volume, pause or resume the song, skip to the next) - sounding "&amp;"the phone remotely - Take a picture - Second time zone - Stopwatch the other feature is the notification system is also very convenient: 12 possible configurable notifications (one for each hour on the dial). Example: I want when I get a call from such a "&amp;"person, my watch notifies me by putting needles on 12. In a notification, the watch vibrates enough to feel the handle. A notification may cover: - a call - a text message - a call to a particular person - sms to a specific person - an application (when a"&amp;"n application sends a notification to the phone, you have the notification on watch)")</f>
        <v>Not bad for a watch feature Hybrid Aesthetically, the show is really well proportioned: it is not too thick unlike some connected watches. Technologically speaking, the Fossil Q application is pretty good for the hybrid and offers a lot of interesting features to be set on all 3 shows the buttons from the following: - Journey time - Current date - Monitoring targets (several objectives configurable) - music management (increase / decrease the volume, pause or resume the song, skip to the next) - sounding the phone remotely - Take a picture - Second time zone - Stopwatch the other feature is the notification system is also very convenient: 12 possible configurable notifications (one for each hour on the dial). Example: I want when I get a call from such a person, my watch notifies me by putting needles on 12. In a notification, the watch vibrates enough to feel the handle. A notification may cover: - a call - a text message - a call to a particular person - sms to a specific person - an application (when an application sends a notification to the phone, you have the notification on watch)</v>
      </c>
    </row>
    <row r="4801">
      <c r="A4801" s="1">
        <v>5.0</v>
      </c>
      <c r="B4801" s="1" t="s">
        <v>4744</v>
      </c>
      <c r="C4801" t="str">
        <f>IFERROR(__xludf.DUMMYFUNCTION("GOOGLETRANSLATE(B4801, ""fr"", ""en"")"),"Quality / Price exceptional quality watch, resistant and comfortable to wear. Its ease of use is remarkable. I use it to bodybuilding for my rest time (stopwatch or timer) in a second everything is settled. Perfect, day and night, outside, inside or under"&amp;" the water, no worries")</f>
        <v>Quality / Price exceptional quality watch, resistant and comfortable to wear. Its ease of use is remarkable. I use it to bodybuilding for my rest time (stopwatch or timer) in a second everything is settled. Perfect, day and night, outside, inside or under the water, no worries</v>
      </c>
    </row>
    <row r="4802">
      <c r="A4802" s="1">
        <v>5.0</v>
      </c>
      <c r="B4802" s="1" t="s">
        <v>4745</v>
      </c>
      <c r="C4802" t="str">
        <f>IFERROR(__xludf.DUMMYFUNCTION("GOOGLETRANSLATE(B4802, ""fr"", ""en"")"),"Very good for its price Supple, light, pleasant brief we did not feel on the head, and the hoops are sufficiently sturdy to hold the helmet in place in the sports movements (cycling and running) although we hear the music even if it is not completely isol"&amp;"ated from the outside. In short a good buy for its price")</f>
        <v>Very good for its price Supple, light, pleasant brief we did not feel on the head, and the hoops are sufficiently sturdy to hold the helmet in place in the sports movements (cycling and running) although we hear the music even if it is not completely isolated from the outside. In short a good buy for its price</v>
      </c>
    </row>
    <row r="4803">
      <c r="A4803" s="1">
        <v>5.0</v>
      </c>
      <c r="B4803" s="1" t="s">
        <v>4746</v>
      </c>
      <c r="C4803" t="str">
        <f>IFERROR(__xludf.DUMMYFUNCTION("GOOGLETRANSLATE(B4803, ""fr"", ""en"")"),"Perfect use to navigate through the woods, forests this is just what I needed.")</f>
        <v>Perfect use to navigate through the woods, forests this is just what I needed.</v>
      </c>
    </row>
    <row r="4804">
      <c r="A4804" s="1">
        <v>5.0</v>
      </c>
      <c r="B4804" s="1" t="s">
        <v>4747</v>
      </c>
      <c r="C4804" t="str">
        <f>IFERROR(__xludf.DUMMYFUNCTION("GOOGLETRANSLATE(B4804, ""fr"", ""en"")"),"pretty good sweater sweater size perfectly well tien hot color is the same as the picture well aj resists washing machine")</f>
        <v>pretty good sweater sweater size perfectly well tien hot color is the same as the picture well aj resists washing machine</v>
      </c>
    </row>
    <row r="4805">
      <c r="A4805" s="1">
        <v>5.0</v>
      </c>
      <c r="B4805" s="1" t="s">
        <v>4748</v>
      </c>
      <c r="C4805" t="str">
        <f>IFERROR(__xludf.DUMMYFUNCTION("GOOGLETRANSLATE(B4805, ""fr"", ""en"")"),"Simple, quickly connects and quality Frankly, for the price, the sound is good and the headphones are not impressive at all. Some manipulation to learn to learn but like all headphones.")</f>
        <v>Simple, quickly connects and quality Frankly, for the price, the sound is good and the headphones are not impressive at all. Some manipulation to learn to learn but like all headphones.</v>
      </c>
    </row>
    <row r="4806">
      <c r="A4806" s="1">
        <v>5.0</v>
      </c>
      <c r="B4806" s="1" t="s">
        <v>4749</v>
      </c>
      <c r="C4806" t="str">
        <f>IFERROR(__xludf.DUMMYFUNCTION("GOOGLETRANSLATE(B4806, ""fr"", ""en"")"),"Good headphones ... After a few days of use, I found the report ""Quality / Price"" very good product. The headphones fit comfortably in the ears either walking or trotting. The sound of the headphones is good and during calls, the microphone is working p"&amp;"roperly. The case for recharge is of good quality although a little imposing. The complaints I could say to quibble it would be the manual that is only in English and Chinese and its headphones that lack some bass. Otherwise nothing wrong side delivery, A"&amp;"mazon at the top.")</f>
        <v>Good headphones ... After a few days of use, I found the report "Quality / Price" very good product. The headphones fit comfortably in the ears either walking or trotting. The sound of the headphones is good and during calls, the microphone is working properly. The case for recharge is of good quality although a little imposing. The complaints I could say to quibble it would be the manual that is only in English and Chinese and its headphones that lack some bass. Otherwise nothing wrong side delivery, Amazon at the top.</v>
      </c>
    </row>
    <row r="4807">
      <c r="A4807" s="1">
        <v>2.0</v>
      </c>
      <c r="B4807" s="1" t="s">
        <v>4750</v>
      </c>
      <c r="C4807" t="str">
        <f>IFERROR(__xludf.DUMMYFUNCTION("GOOGLETRANSLATE(B4807, ""fr"", ""en"")"),"disappointment I was disappointed by the appearance général.Je think this really ""plastic"". Also the pen does not fit in the mouth and thus falls all the time. It's a shame because it was an original product")</f>
        <v>disappointment I was disappointed by the appearance général.Je think this really "plastic". Also the pen does not fit in the mouth and thus falls all the time. It's a shame because it was an original product</v>
      </c>
    </row>
    <row r="4808">
      <c r="A4808" s="1">
        <v>1.0</v>
      </c>
      <c r="B4808" s="1" t="s">
        <v>4751</v>
      </c>
      <c r="C4808" t="str">
        <f>IFERROR(__xludf.DUMMYFUNCTION("GOOGLETRANSLATE(B4808, ""fr"", ""en"")"),"Charger death in qq months away Rubbish product, occasional use charger dropped just 1 year after purchase. We must return it directly to the manufacturer in the united kingdom as ... well no charger")</f>
        <v>Charger death in qq months away Rubbish product, occasional use charger dropped just 1 year after purchase. We must return it directly to the manufacturer in the united kingdom as ... well no charger</v>
      </c>
    </row>
    <row r="4809">
      <c r="A4809" s="1">
        <v>1.0</v>
      </c>
      <c r="B4809" s="1" t="s">
        <v>4752</v>
      </c>
      <c r="C4809" t="str">
        <f>IFERROR(__xludf.DUMMYFUNCTION("GOOGLETRANSLATE(B4809, ""fr"", ""en"")"),"Disappointed by the non noise reduction! I am very disappointed because this helmet does not feature active noise reduction. C is perhaps what explains its price but it was not stated in the presentation of the product. There is also evidence from the for"&amp;"ums that the noise reduction function is buggy on BOZE qc35. Jai returned product and will turn to SONY.")</f>
        <v>Disappointed by the non noise reduction! I am very disappointed because this helmet does not feature active noise reduction. C is perhaps what explains its price but it was not stated in the presentation of the product. There is also evidence from the forums that the noise reduction function is buggy on BOZE qc35. Jai returned product and will turn to SONY.</v>
      </c>
    </row>
    <row r="4810">
      <c r="A4810" s="1">
        <v>3.0</v>
      </c>
      <c r="B4810" s="1" t="s">
        <v>4753</v>
      </c>
      <c r="C4810" t="str">
        <f>IFERROR(__xludf.DUMMYFUNCTION("GOOGLETRANSLATE(B4810, ""fr"", ""en"")"),"Compact and efficient Pop Filter highly effective, unobtrusive and includes his worries microphone (AT 2020). The fastening system may seem low but like it takes the microphone.")</f>
        <v>Compact and efficient Pop Filter highly effective, unobtrusive and includes his worries microphone (AT 2020). The fastening system may seem low but like it takes the microphone.</v>
      </c>
    </row>
    <row r="4811">
      <c r="A4811" s="1">
        <v>4.0</v>
      </c>
      <c r="B4811" s="1" t="s">
        <v>4754</v>
      </c>
      <c r="C4811" t="str">
        <f>IFERROR(__xludf.DUMMYFUNCTION("GOOGLETRANSLATE(B4811, ""fr"", ""en"")"),"I recommend nickel products conform to the waiting")</f>
        <v>I recommend nickel products conform to the waiting</v>
      </c>
    </row>
    <row r="4812">
      <c r="A4812" s="1">
        <v>4.0</v>
      </c>
      <c r="B4812" s="1" t="s">
        <v>4755</v>
      </c>
      <c r="C4812" t="str">
        <f>IFERROR(__xludf.DUMMYFUNCTION("GOOGLETRANSLATE(B4812, ""fr"", ""en"")"),"Meets photo Not bad surprise.Le product matches the picture, both in form and color. And more, it is very warm and cozy.")</f>
        <v>Meets photo Not bad surprise.Le product matches the picture, both in form and color. And more, it is very warm and cozy.</v>
      </c>
    </row>
    <row r="4813">
      <c r="A4813" s="1">
        <v>4.0</v>
      </c>
      <c r="B4813" s="1" t="s">
        <v>4756</v>
      </c>
      <c r="C4813" t="str">
        <f>IFERROR(__xludf.DUMMYFUNCTION("GOOGLETRANSLATE(B4813, ""fr"", ""en"")"),"Superb renapur pot To renovate leather coat, pot is great!")</f>
        <v>Superb renapur pot To renovate leather coat, pot is great!</v>
      </c>
    </row>
    <row r="4814">
      <c r="A4814" s="1">
        <v>4.0</v>
      </c>
      <c r="B4814" s="1" t="s">
        <v>4757</v>
      </c>
      <c r="C4814" t="str">
        <f>IFERROR(__xludf.DUMMYFUNCTION("GOOGLETRANSLATE(B4814, ""fr"", ""en"")"),"Good value Not bad for the price")</f>
        <v>Good value Not bad for the price</v>
      </c>
    </row>
    <row r="4815">
      <c r="A4815" s="1">
        <v>5.0</v>
      </c>
      <c r="B4815" s="1" t="s">
        <v>4758</v>
      </c>
      <c r="C4815" t="str">
        <f>IFERROR(__xludf.DUMMYFUNCTION("GOOGLETRANSLATE(B4815, ""fr"", ""en"")"),"Good headphones Earphones received very quickly. Delivered in a pretty box. The earpiece is positioned securely on the ear even during sports. The design is discreet and the sound is good. I recommend.")</f>
        <v>Good headphones Earphones received very quickly. Delivered in a pretty box. The earpiece is positioned securely on the ear even during sports. The design is discreet and the sound is good. I recommend.</v>
      </c>
    </row>
    <row r="4816">
      <c r="A4816" s="1">
        <v>5.0</v>
      </c>
      <c r="B4816" s="1" t="s">
        <v>4759</v>
      </c>
      <c r="C4816" t="str">
        <f>IFERROR(__xludf.DUMMYFUNCTION("GOOGLETRANSLATE(B4816, ""fr"", ""en"")"),"Quality is Superb")</f>
        <v>Quality is Superb</v>
      </c>
    </row>
    <row r="4817">
      <c r="A4817" s="1">
        <v>5.0</v>
      </c>
      <c r="B4817" s="1" t="s">
        <v>4760</v>
      </c>
      <c r="C4817" t="str">
        <f>IFERROR(__xludf.DUMMYFUNCTION("GOOGLETRANSLATE(B4817, ""fr"", ""en"")"),"Perfect summer Puma, a safe bet, perfect for the pool and shared showers. Ideal for holidays and beach.")</f>
        <v>Perfect summer Puma, a safe bet, perfect for the pool and shared showers. Ideal for holidays and beach.</v>
      </c>
    </row>
    <row r="4818">
      <c r="A4818" s="1">
        <v>5.0</v>
      </c>
      <c r="B4818" s="1" t="s">
        <v>4761</v>
      </c>
      <c r="C4818" t="str">
        <f>IFERROR(__xludf.DUMMYFUNCTION("GOOGLETRANSLATE(B4818, ""fr"", ""en"")"),"Very well done job, a nice price !! Great price / quality ratio, makes the job, the quality seems to be the Meeting place, remains to be seen over time ..")</f>
        <v>Very well done job, a nice price !! Great price / quality ratio, makes the job, the quality seems to be the Meeting place, remains to be seen over time ..</v>
      </c>
    </row>
    <row r="4819">
      <c r="A4819" s="1">
        <v>5.0</v>
      </c>
      <c r="B4819" s="1" t="s">
        <v>4762</v>
      </c>
      <c r="C4819" t="str">
        <f>IFERROR(__xludf.DUMMYFUNCTION("GOOGLETRANSLATE(B4819, ""fr"", ""en"")"),"Great moment of Massage perspective I recommend this massage cushion. Bought twice and am just envious. Price interesting and good quality product.")</f>
        <v>Great moment of Massage perspective I recommend this massage cushion. Bought twice and am just envious. Price interesting and good quality product.</v>
      </c>
    </row>
    <row r="4820">
      <c r="A4820" s="1">
        <v>5.0</v>
      </c>
      <c r="B4820" s="1" t="s">
        <v>4763</v>
      </c>
      <c r="C4820" t="str">
        <f>IFERROR(__xludf.DUMMYFUNCTION("GOOGLETRANSLATE(B4820, ""fr"", ""en"")"),"Perfect Great headphones fit comfortably in the ear")</f>
        <v>Perfect Great headphones fit comfortably in the ear</v>
      </c>
    </row>
    <row r="4821">
      <c r="A4821" s="1">
        <v>5.0</v>
      </c>
      <c r="B4821" s="1" t="s">
        <v>4764</v>
      </c>
      <c r="C4821" t="str">
        <f>IFERROR(__xludf.DUMMYFUNCTION("GOOGLETRANSLATE(B4821, ""fr"", ""en"")"),"A purchase I love these yoga pants, it's really a high waist that is not twisted despite the fabric of underwear you wear. Perfect for working sizes are accurate, it is comfortable and the material is thick. I will definitely buy more.")</f>
        <v>A purchase I love these yoga pants, it's really a high waist that is not twisted despite the fabric of underwear you wear. Perfect for working sizes are accurate, it is comfortable and the material is thick. I will definitely buy more.</v>
      </c>
    </row>
    <row r="4822">
      <c r="A4822" s="1">
        <v>5.0</v>
      </c>
      <c r="B4822" s="1" t="s">
        <v>4765</v>
      </c>
      <c r="C4822" t="str">
        <f>IFERROR(__xludf.DUMMYFUNCTION("GOOGLETRANSLATE(B4822, ""fr"", ""en"")"),"Effective! The best existing product for this use. Enough resistant and damp to his job. To try it is to adopt it ! Essential !!!")</f>
        <v>Effective! The best existing product for this use. Enough resistant and damp to his job. To try it is to adopt it ! Essential !!!</v>
      </c>
    </row>
    <row r="4823">
      <c r="A4823" s="1">
        <v>5.0</v>
      </c>
      <c r="B4823" s="1" t="s">
        <v>4766</v>
      </c>
      <c r="C4823" t="str">
        <f>IFERROR(__xludf.DUMMYFUNCTION("GOOGLETRANSLATE(B4823, ""fr"", ""en"")"),"Small lamp atmosphere at the top &lt;div id = ""video-block-RGKM7DZKT5DDB"" class = ""a-section-spacing-small in-spacing-top mini video-block""&gt; &lt;/ div&gt; &lt;input type = ""hidden"" name = """" value = ""https://images-eu.ssl-images-amazon.com/images/I/91JAZNu48"&amp;"ES.mp4"" class = ""video-url""&gt; &lt;input type = ""hidden"" name = """" value = ""https://images-eu.ssl-images-amazon.com/images/I/81n2r7qwUNS.png"" class = ""video-slate-img-url""&gt; &amp; nbsp; nice little lamp, changing the color anything that touching. Good so"&amp;"und of the Bluetooth speaker, the alarm is great as well. Good value for money .")</f>
        <v>Small lamp atmosphere at the top &lt;div id = "video-block-RGKM7DZKT5DDB" class = "a-section-spacing-small in-spacing-top mini video-block"&gt; &lt;/ div&gt; &lt;input type = "hidden" name = "" value = "https://images-eu.ssl-images-amazon.com/images/I/91JAZNu48ES.mp4" class = "video-url"&gt; &lt;input type = "hidden" name = "" value = "https://images-eu.ssl-images-amazon.com/images/I/81n2r7qwUNS.png" class = "video-slate-img-url"&gt; &amp; nbsp; nice little lamp, changing the color anything that touching. Good sound of the Bluetooth speaker, the alarm is great as well. Good value for money .</v>
      </c>
    </row>
    <row r="4824">
      <c r="A4824" s="1">
        <v>5.0</v>
      </c>
      <c r="B4824" s="1" t="s">
        <v>4767</v>
      </c>
      <c r="C4824" t="str">
        <f>IFERROR(__xludf.DUMMYFUNCTION("GOOGLETRANSLATE(B4824, ""fr"", ""en"")"),"Perfect My son uses this type of pen, so it's much cheaper than store")</f>
        <v>Perfect My son uses this type of pen, so it's much cheaper than store</v>
      </c>
    </row>
    <row r="4825">
      <c r="A4825" s="1">
        <v>5.0</v>
      </c>
      <c r="B4825" s="1" t="s">
        <v>4768</v>
      </c>
      <c r="C4825" t="str">
        <f>IFERROR(__xludf.DUMMYFUNCTION("GOOGLETRANSLATE(B4825, ""fr"", ""en"")"),"Quality Good quality product received on time")</f>
        <v>Quality Good quality product received on time</v>
      </c>
    </row>
    <row r="4826">
      <c r="A4826" s="1">
        <v>5.0</v>
      </c>
      <c r="B4826" s="1" t="s">
        <v>4769</v>
      </c>
      <c r="C4826" t="str">
        <f>IFERROR(__xludf.DUMMYFUNCTION("GOOGLETRANSLATE(B4826, ""fr"", ""en"")"),"Good quality, good impression and very correct amount of printing. Good quality, good impression and very correct amount of printing. For a reasonable price and XXL XL cartridges you enable long lasting and good quality prints. I always use these cartridg"&amp;"es CANON brand, to a printer of the same make, personally and professionally on occasion. I am very pleased with these cartridges and comparing prices is easily saving twenty euros compared to the ""specialist toner and others."" HB")</f>
        <v>Good quality, good impression and very correct amount of printing. Good quality, good impression and very correct amount of printing. For a reasonable price and XXL XL cartridges you enable long lasting and good quality prints. I always use these cartridges CANON brand, to a printer of the same make, personally and professionally on occasion. I am very pleased with these cartridges and comparing prices is easily saving twenty euros compared to the "specialist toner and others." HB</v>
      </c>
    </row>
    <row r="4827">
      <c r="A4827" s="1">
        <v>5.0</v>
      </c>
      <c r="B4827" s="1" t="s">
        <v>4770</v>
      </c>
      <c r="C4827" t="str">
        <f>IFERROR(__xludf.DUMMYFUNCTION("GOOGLETRANSLATE(B4827, ""fr"", ""en"")"),"Beautiful Brush object of very good quality, varnished wood and shines shoes perfectly. The finish is very neat. I recommend.")</f>
        <v>Beautiful Brush object of very good quality, varnished wood and shines shoes perfectly. The finish is very neat. I recommend.</v>
      </c>
    </row>
    <row r="4828">
      <c r="A4828" s="1">
        <v>5.0</v>
      </c>
      <c r="B4828" s="1" t="s">
        <v>4771</v>
      </c>
      <c r="C4828" t="str">
        <f>IFERROR(__xludf.DUMMYFUNCTION("GOOGLETRANSLATE(B4828, ""fr"", ""en"")"),"very comfortable Daily")</f>
        <v>very comfortable Daily</v>
      </c>
    </row>
    <row r="4829">
      <c r="A4829" s="1">
        <v>5.0</v>
      </c>
      <c r="B4829" s="1" t="s">
        <v>4772</v>
      </c>
      <c r="C4829" t="str">
        <f>IFERROR(__xludf.DUMMYFUNCTION("GOOGLETRANSLATE(B4829, ""fr"", ""en"")"),"Perfect Asked in second, my son is happy.")</f>
        <v>Perfect Asked in second, my son is happy.</v>
      </c>
    </row>
    <row r="4830">
      <c r="A4830" s="1">
        <v>2.0</v>
      </c>
      <c r="B4830" s="1" t="s">
        <v>4773</v>
      </c>
      <c r="C4830" t="str">
        <f>IFERROR(__xludf.DUMMYFUNCTION("GOOGLETRANSLATE(B4830, ""fr"", ""en"")"),"disappointed a little disappointed, I'll have me wary of the length of the stem, very short, does not stir the bottom of the bottle, too bad for me I'll have to look better")</f>
        <v>disappointed a little disappointed, I'll have me wary of the length of the stem, very short, does not stir the bottom of the bottle, too bad for me I'll have to look better</v>
      </c>
    </row>
    <row r="4831">
      <c r="A4831" s="1">
        <v>1.0</v>
      </c>
      <c r="B4831" s="1" t="s">
        <v>4774</v>
      </c>
      <c r="C4831" t="str">
        <f>IFERROR(__xludf.DUMMYFUNCTION("GOOGLETRANSLATE(B4831, ""fr"", ""en"")"),"Too late Too late, the printer sometimes takes multiple sheets at the same time. Also in my first train, surrounded with plenty of wrinkles species in the paper, I still have four to go! Compared to the other papers I had so far, whether brand or same bra"&amp;"nd of hypermaché, with whom I have never had a problem and, for some, were a bit cheaper , this is the worst")</f>
        <v>Too late Too late, the printer sometimes takes multiple sheets at the same time. Also in my first train, surrounded with plenty of wrinkles species in the paper, I still have four to go! Compared to the other papers I had so far, whether brand or same brand of hypermaché, with whom I have never had a problem and, for some, were a bit cheaper , this is the worst</v>
      </c>
    </row>
    <row r="4832">
      <c r="A4832" s="1">
        <v>3.0</v>
      </c>
      <c r="B4832" s="1" t="s">
        <v>4775</v>
      </c>
      <c r="C4832" t="str">
        <f>IFERROR(__xludf.DUMMYFUNCTION("GOOGLETRANSLATE(B4832, ""fr"", ""en"")"),"necklace I offered to my mom for Christmas are seen price I was afraid to be not well down the opposite it is just a can too")</f>
        <v>necklace I offered to my mom for Christmas are seen price I was afraid to be not well down the opposite it is just a can too</v>
      </c>
    </row>
    <row r="4833">
      <c r="A4833" s="1">
        <v>3.0</v>
      </c>
      <c r="B4833" s="1" t="s">
        <v>4776</v>
      </c>
      <c r="C4833" t="str">
        <f>IFERROR(__xludf.DUMMYFUNCTION("GOOGLETRANSLATE(B4833, ""fr"", ""en"")"),"a small can the sweat is good and it may qualiter small compared to the other sweatshirt size S I")</f>
        <v>a small can the sweat is good and it may qualiter small compared to the other sweatshirt size S I</v>
      </c>
    </row>
    <row r="4834">
      <c r="A4834" s="1">
        <v>4.0</v>
      </c>
      <c r="B4834" s="1" t="s">
        <v>4777</v>
      </c>
      <c r="C4834" t="str">
        <f>IFERROR(__xludf.DUMMYFUNCTION("GOOGLETRANSLATE(B4834, ""fr"", ""en"")"),"Very good sound but not very comfortable This helmet is really very good in sound and bass with, in addition, the application to set the parameters according to our preferences. However, it is not very comfortable and I have never exceeded 1 hour of liste"&amp;"ning because it crushes my ears.")</f>
        <v>Very good sound but not very comfortable This helmet is really very good in sound and bass with, in addition, the application to set the parameters according to our preferences. However, it is not very comfortable and I have never exceeded 1 hour of listening because it crushes my ears.</v>
      </c>
    </row>
    <row r="4835">
      <c r="A4835" s="1">
        <v>4.0</v>
      </c>
      <c r="B4835" s="1" t="s">
        <v>4778</v>
      </c>
      <c r="C4835" t="str">
        <f>IFERROR(__xludf.DUMMYFUNCTION("GOOGLETRANSLATE(B4835, ""fr"", ""en"")"),"beautiful boots these boots are for professional use, they are very nice but a bit stiff to the point where they can hardly fit")</f>
        <v>beautiful boots these boots are for professional use, they are very nice but a bit stiff to the point where they can hardly fit</v>
      </c>
    </row>
    <row r="4836">
      <c r="A4836" s="1">
        <v>4.0</v>
      </c>
      <c r="B4836" s="1" t="s">
        <v>4779</v>
      </c>
      <c r="C4836" t="str">
        <f>IFERROR(__xludf.DUMMYFUNCTION("GOOGLETRANSLATE(B4836, ""fr"", ""en"")"),"they are a little stiff Beads hope that they will relax")</f>
        <v>they are a little stiff Beads hope that they will relax</v>
      </c>
    </row>
    <row r="4837">
      <c r="A4837" s="1">
        <v>4.0</v>
      </c>
      <c r="B4837" s="1" t="s">
        <v>4780</v>
      </c>
      <c r="C4837" t="str">
        <f>IFERROR(__xludf.DUMMYFUNCTION("GOOGLETRANSLATE(B4837, ""fr"", ""en"")"),"guaranteed heat !! m size, perfect size &amp; nbsp; even the sleeves for slightly larger arm. difficil to leave once put on!")</f>
        <v>guaranteed heat !! m size, perfect size &amp; nbsp; even the sleeves for slightly larger arm. difficil to leave once put on!</v>
      </c>
    </row>
    <row r="4838">
      <c r="A4838" s="1">
        <v>5.0</v>
      </c>
      <c r="B4838" s="1" t="s">
        <v>4781</v>
      </c>
      <c r="C4838" t="str">
        <f>IFERROR(__xludf.DUMMYFUNCTION("GOOGLETRANSLATE(B4838, ""fr"", ""en"")"),"Top! Super corresponds very well to my expectations .. Thanks Amazon I highly recommend for its price it's great! Simple, easy and effective")</f>
        <v>Top! Super corresponds very well to my expectations .. Thanks Amazon I highly recommend for its price it's great! Simple, easy and effective</v>
      </c>
    </row>
    <row r="4839">
      <c r="A4839" s="1">
        <v>5.0</v>
      </c>
      <c r="B4839" s="1" t="s">
        <v>4782</v>
      </c>
      <c r="C4839" t="str">
        <f>IFERROR(__xludf.DUMMYFUNCTION("GOOGLETRANSLATE(B4839, ""fr"", ""en"")"),"Basketball player Very value for money and great performance")</f>
        <v>Basketball player Very value for money and great performance</v>
      </c>
    </row>
    <row r="4840">
      <c r="A4840" s="1">
        <v>5.0</v>
      </c>
      <c r="B4840" s="1" t="s">
        <v>4783</v>
      </c>
      <c r="C4840" t="str">
        <f>IFERROR(__xludf.DUMMYFUNCTION("GOOGLETRANSLATE(B4840, ""fr"", ""en"")"),"Very good watch. I own this watch for over 6 months and I was very pessimistic when my purchases for bad comments I had seen was his but after about 6 months impecable, I really advice as it has a very nice design and a very complete dial.")</f>
        <v>Very good watch. I own this watch for over 6 months and I was very pessimistic when my purchases for bad comments I had seen was his but after about 6 months impecable, I really advice as it has a very nice design and a very complete dial.</v>
      </c>
    </row>
    <row r="4841">
      <c r="A4841" s="1">
        <v>5.0</v>
      </c>
      <c r="B4841" s="1" t="s">
        <v>4784</v>
      </c>
      <c r="C4841" t="str">
        <f>IFERROR(__xludf.DUMMYFUNCTION("GOOGLETRANSLATE(B4841, ""fr"", ""en"")"),"Perfect quality bra that perfectly maintains large breasts. I put the same when I do not do sports. So glad I have already bought 2 more! It perfectly size, neither too big nor too small")</f>
        <v>Perfect quality bra that perfectly maintains large breasts. I put the same when I do not do sports. So glad I have already bought 2 more! It perfectly size, neither too big nor too small</v>
      </c>
    </row>
    <row r="4842">
      <c r="A4842" s="1">
        <v>5.0</v>
      </c>
      <c r="B4842" s="1" t="s">
        <v>4785</v>
      </c>
      <c r="C4842" t="str">
        <f>IFERROR(__xludf.DUMMYFUNCTION("GOOGLETRANSLATE(B4842, ""fr"", ""en"")"),"Congratulations Good product. ok time.")</f>
        <v>Congratulations Good product. ok time.</v>
      </c>
    </row>
    <row r="4843">
      <c r="A4843" s="1">
        <v>5.0</v>
      </c>
      <c r="B4843" s="1" t="s">
        <v>4786</v>
      </c>
      <c r="C4843" t="str">
        <f>IFERROR(__xludf.DUMMYFUNCTION("GOOGLETRANSLATE(B4843, ""fr"", ""en"")"),"My foot Solid")</f>
        <v>My foot Solid</v>
      </c>
    </row>
    <row r="4844">
      <c r="A4844" s="1">
        <v>5.0</v>
      </c>
      <c r="B4844" s="1" t="s">
        <v>4787</v>
      </c>
      <c r="C4844" t="str">
        <f>IFERROR(__xludf.DUMMYFUNCTION("GOOGLETRANSLATE(B4844, ""fr"", ""en"")"),"Consistent with the description consistent with the description")</f>
        <v>Consistent with the description consistent with the description</v>
      </c>
    </row>
    <row r="4845">
      <c r="A4845" s="1">
        <v>5.0</v>
      </c>
      <c r="B4845" s="1" t="s">
        <v>4788</v>
      </c>
      <c r="C4845" t="str">
        <f>IFERROR(__xludf.DUMMYFUNCTION("GOOGLETRANSLATE(B4845, ""fr"", ""en"")"),"Super cute. Very pretty ; beautiful blue; my daughter loves it.")</f>
        <v>Super cute. Very pretty ; beautiful blue; my daughter loves it.</v>
      </c>
    </row>
    <row r="4846">
      <c r="A4846" s="1">
        <v>5.0</v>
      </c>
      <c r="B4846" s="1" t="s">
        <v>4789</v>
      </c>
      <c r="C4846" t="str">
        <f>IFERROR(__xludf.DUMMYFUNCTION("GOOGLETRANSLATE(B4846, ""fr"", ""en"")"),"Order Notice Very happy with my order, really realistic and good quality in relation to the description, small flat parcel was not closed but fortunately everything was in it.")</f>
        <v>Order Notice Very happy with my order, really realistic and good quality in relation to the description, small flat parcel was not closed but fortunately everything was in it.</v>
      </c>
    </row>
    <row r="4847">
      <c r="A4847" s="1">
        <v>5.0</v>
      </c>
      <c r="B4847" s="1" t="s">
        <v>4790</v>
      </c>
      <c r="C4847" t="str">
        <f>IFERROR(__xludf.DUMMYFUNCTION("GOOGLETRANSLATE(B4847, ""fr"", ""en"")"),"Parfais My son is delighted, great size, color as I wanted, sending the article was as quick report, the article is fine, I have nothing to say ...")</f>
        <v>Parfais My son is delighted, great size, color as I wanted, sending the article was as quick report, the article is fine, I have nothing to say ...</v>
      </c>
    </row>
    <row r="4848">
      <c r="A4848" s="1">
        <v>5.0</v>
      </c>
      <c r="B4848" s="1" t="s">
        <v>4791</v>
      </c>
      <c r="C4848" t="str">
        <f>IFERROR(__xludf.DUMMYFUNCTION("GOOGLETRANSLATE(B4848, ""fr"", ""en"")"),"Respect and comply birthday gift 80 years of a parent: very happy")</f>
        <v>Respect and comply birthday gift 80 years of a parent: very happy</v>
      </c>
    </row>
    <row r="4849">
      <c r="A4849" s="1">
        <v>5.0</v>
      </c>
      <c r="B4849" s="1" t="s">
        <v>4792</v>
      </c>
      <c r="C4849" t="str">
        <f>IFERROR(__xludf.DUMMYFUNCTION("GOOGLETRANSLATE(B4849, ""fr"", ""en"")"),"good product but after a year, the earbuds come off")</f>
        <v>good product but after a year, the earbuds come off</v>
      </c>
    </row>
    <row r="4850">
      <c r="A4850" s="1">
        <v>5.0</v>
      </c>
      <c r="B4850" s="1" t="s">
        <v>4793</v>
      </c>
      <c r="C4850" t="str">
        <f>IFERROR(__xludf.DUMMYFUNCTION("GOOGLETRANSLATE(B4850, ""fr"", ""en"")"),"Perfect Very nice shorts, nice cut, very comfortable to wear with the wide section at the waist, not too tight. I love st I advise. For 164 cm and 50 kg S is perfect.")</f>
        <v>Perfect Very nice shorts, nice cut, very comfortable to wear with the wide section at the waist, not too tight. I love st I advise. For 164 cm and 50 kg S is perfect.</v>
      </c>
    </row>
    <row r="4851">
      <c r="A4851" s="1">
        <v>5.0</v>
      </c>
      <c r="B4851" s="1" t="s">
        <v>4794</v>
      </c>
      <c r="C4851" t="str">
        <f>IFERROR(__xludf.DUMMYFUNCTION("GOOGLETRANSLATE(B4851, ""fr"", ""en"")"),"Perfect Perfect, good support, good quality, nice colors and sized perfectly, I took m usual size and spotless. I recommend.")</f>
        <v>Perfect Perfect, good support, good quality, nice colors and sized perfectly, I took m usual size and spotless. I recommend.</v>
      </c>
    </row>
    <row r="4852">
      <c r="A4852" s="1">
        <v>5.0</v>
      </c>
      <c r="B4852" s="1" t="s">
        <v>4795</v>
      </c>
      <c r="C4852" t="str">
        <f>IFERROR(__xludf.DUMMYFUNCTION("GOOGLETRANSLATE(B4852, ""fr"", ""en"")"),"Super Pretty comfortable, lightweight and comfortable. Good value for money.")</f>
        <v>Super Pretty comfortable, lightweight and comfortable. Good value for money.</v>
      </c>
    </row>
    <row r="4853">
      <c r="A4853" s="1">
        <v>2.0</v>
      </c>
      <c r="B4853" s="1" t="s">
        <v>4796</v>
      </c>
      <c r="C4853" t="str">
        <f>IFERROR(__xludf.DUMMYFUNCTION("GOOGLETRANSLATE(B4853, ""fr"", ""en"")"),"Blew a fuse Very good for 1 year and then rust and now she blew a fuse so hs ... I do not know which to take from now ...")</f>
        <v>Blew a fuse Very good for 1 year and then rust and now she blew a fuse so hs ... I do not know which to take from now ...</v>
      </c>
    </row>
    <row r="4854">
      <c r="A4854" s="1">
        <v>1.0</v>
      </c>
      <c r="B4854" s="1" t="s">
        <v>4797</v>
      </c>
      <c r="C4854" t="str">
        <f>IFERROR(__xludf.DUMMYFUNCTION("GOOGLETRANSLATE(B4854, ""fr"", ""en"")"),"defective watch second hand is delayed and blocked defective watch second hand is delayed and blocked")</f>
        <v>defective watch second hand is delayed and blocked defective watch second hand is delayed and blocked</v>
      </c>
    </row>
    <row r="4855">
      <c r="A4855" s="1">
        <v>1.0</v>
      </c>
      <c r="B4855" s="1" t="s">
        <v>4798</v>
      </c>
      <c r="C4855" t="str">
        <f>IFERROR(__xludf.DUMMYFUNCTION("GOOGLETRANSLATE(B4855, ""fr"", ""en"")"),"Comment on Article Item not conform to the description both the color and form. I do not recommend the next time.")</f>
        <v>Comment on Article Item not conform to the description both the color and form. I do not recommend the next time.</v>
      </c>
    </row>
    <row r="4856">
      <c r="A4856" s="1">
        <v>3.0</v>
      </c>
      <c r="B4856" s="1" t="s">
        <v>4799</v>
      </c>
      <c r="C4856" t="str">
        <f>IFERROR(__xludf.DUMMYFUNCTION("GOOGLETRANSLATE(B4856, ""fr"", ""en"")"),"Although Received a bit late but good product")</f>
        <v>Although Received a bit late but good product</v>
      </c>
    </row>
    <row r="4857">
      <c r="A4857" s="1">
        <v>3.0</v>
      </c>
      <c r="B4857" s="1" t="s">
        <v>4800</v>
      </c>
      <c r="C4857" t="str">
        <f>IFERROR(__xludf.DUMMYFUNCTION("GOOGLETRANSLATE(B4857, ""fr"", ""en"")"),"EXCELLENT PRODUCT BUT H.S AFTER 1 YEAR OF USE SUPER BOUILLOTTE WHICH WE CAN HAPPEN BUT STOPS HEAT AFTER 1 YEAR OF USE. WORST IT DOUBLE VOLUME .... I HAVE FEARS THAT SHE EXPLODED ..")</f>
        <v>EXCELLENT PRODUCT BUT H.S AFTER 1 YEAR OF USE SUPER BOUILLOTTE WHICH WE CAN HAPPEN BUT STOPS HEAT AFTER 1 YEAR OF USE. WORST IT DOUBLE VOLUME .... I HAVE FEARS THAT SHE EXPLODED ..</v>
      </c>
    </row>
    <row r="4858">
      <c r="A4858" s="1">
        <v>4.0</v>
      </c>
      <c r="B4858" s="1" t="s">
        <v>4801</v>
      </c>
      <c r="C4858" t="str">
        <f>IFERROR(__xludf.DUMMYFUNCTION("GOOGLETRANSLATE(B4858, ""fr"", ""en"")"),"RAS quality Eastpak, Eastpak is the quality I have always known: solid, well designed, and is known that it will last as long as we confine to the reasonable use and urban.")</f>
        <v>RAS quality Eastpak, Eastpak is the quality I have always known: solid, well designed, and is known that it will last as long as we confine to the reasonable use and urban.</v>
      </c>
    </row>
    <row r="4859">
      <c r="A4859" s="1">
        <v>4.0</v>
      </c>
      <c r="B4859" s="1" t="s">
        <v>4802</v>
      </c>
      <c r="C4859" t="str">
        <f>IFERROR(__xludf.DUMMYFUNCTION("GOOGLETRANSLATE(B4859, ""fr"", ""en"")"),"It toaster good camera a little out of the ordinary on simple point and effective. The power adjustment knob is made. The eject button associated therewith triggers easily without effort. The top loading is easy because the space is wide. The seizure by t"&amp;"he side rails (inside) is equally effective. The ejection at the end of the grill does not ""jump"" above the slices that the toaster (and that's good). I was not really convinced by the ""trick"" to ask it to warm bread or croissants. But in fact it's th"&amp;"e outright! It warms great croissants. It must even be careful not to overheat (graduating 2 is sufficient). I recommand it.")</f>
        <v>It toaster good camera a little out of the ordinary on simple point and effective. The power adjustment knob is made. The eject button associated therewith triggers easily without effort. The top loading is easy because the space is wide. The seizure by the side rails (inside) is equally effective. The ejection at the end of the grill does not "jump" above the slices that the toaster (and that's good). I was not really convinced by the "trick" to ask it to warm bread or croissants. But in fact it's the outright! It warms great croissants. It must even be careful not to overheat (graduating 2 is sufficient). I recommand it.</v>
      </c>
    </row>
    <row r="4860">
      <c r="A4860" s="1">
        <v>4.0</v>
      </c>
      <c r="B4860" s="1" t="s">
        <v>4803</v>
      </c>
      <c r="C4860" t="str">
        <f>IFERROR(__xludf.DUMMYFUNCTION("GOOGLETRANSLATE(B4860, ""fr"", ""en"")"),"Convinced Accuracy: Beginner When I received the chisel .... I was disappointed with the package I felt that he was already opened or used, but when I used the chisel, I n 'not believe how well it worked! I love it, really I am confident and very happy wi"&amp;"th my purchase.")</f>
        <v>Convinced Accuracy: Beginner When I received the chisel .... I was disappointed with the package I felt that he was already opened or used, but when I used the chisel, I n 'not believe how well it worked! I love it, really I am confident and very happy with my purchase.</v>
      </c>
    </row>
    <row r="4861">
      <c r="A4861" s="1">
        <v>4.0</v>
      </c>
      <c r="B4861" s="1" t="s">
        <v>4804</v>
      </c>
      <c r="C4861" t="str">
        <f>IFERROR(__xludf.DUMMYFUNCTION("GOOGLETRANSLATE(B4861, ""fr"", ""en"")"),"Well built and with a beautiful exterior finish I chose these boots because of their elegant appearance and ""Goodyear"" which is a guarantee of solidity. I knew the brand I have the classic model and the price was attractive. Due to the attractive price,"&amp;" we can not ask the sake of finishing can be seen outside of the shoe, continuing to less visible parts. Manufacturing is done in Bangladesh and the inner lining is fabric. The shape and size for me is respected. Of course, it will put them with a shoehor"&amp;"n and cover with a little beef foot oil to soften before waxing for the first time (with a natural shine, avoid silicone-based products. .. waterproof but which prevent the leather to breathe).")</f>
        <v>Well built and with a beautiful exterior finish I chose these boots because of their elegant appearance and "Goodyear" which is a guarantee of solidity. I knew the brand I have the classic model and the price was attractive. Due to the attractive price, we can not ask the sake of finishing can be seen outside of the shoe, continuing to less visible parts. Manufacturing is done in Bangladesh and the inner lining is fabric. The shape and size for me is respected. Of course, it will put them with a shoehorn and cover with a little beef foot oil to soften before waxing for the first time (with a natural shine, avoid silicone-based products. .. waterproof but which prevent the leather to breathe).</v>
      </c>
    </row>
    <row r="4862">
      <c r="A4862" s="1">
        <v>5.0</v>
      </c>
      <c r="B4862" s="1" t="s">
        <v>4805</v>
      </c>
      <c r="C4862" t="str">
        <f>IFERROR(__xludf.DUMMYFUNCTION("GOOGLETRANSLATE(B4862, ""fr"", ""en"")"),"Pretty perfect, easy to use!")</f>
        <v>Pretty perfect, easy to use!</v>
      </c>
    </row>
    <row r="4863">
      <c r="A4863" s="1">
        <v>5.0</v>
      </c>
      <c r="B4863" s="1" t="s">
        <v>4806</v>
      </c>
      <c r="C4863" t="str">
        <f>IFERROR(__xludf.DUMMYFUNCTION("GOOGLETRANSLATE(B4863, ""fr"", ""en"")"),"the lovely bracelet length makes much effect")</f>
        <v>the lovely bracelet length makes much effect</v>
      </c>
    </row>
    <row r="4864">
      <c r="A4864" s="1">
        <v>5.0</v>
      </c>
      <c r="B4864" s="1" t="s">
        <v>4807</v>
      </c>
      <c r="C4864" t="str">
        <f>IFERROR(__xludf.DUMMYFUNCTION("GOOGLETRANSLATE(B4864, ""fr"", ""en"")"),"Cable ideal to replace the one of origin sold with the amp for guitar purchased to replace a short cable and that the perfect")</f>
        <v>Cable ideal to replace the one of origin sold with the amp for guitar purchased to replace a short cable and that the perfect</v>
      </c>
    </row>
    <row r="4865">
      <c r="A4865" s="1">
        <v>5.0</v>
      </c>
      <c r="B4865" s="1" t="s">
        <v>4808</v>
      </c>
      <c r="C4865" t="str">
        <f>IFERROR(__xludf.DUMMYFUNCTION("GOOGLETRANSLATE(B4865, ""fr"", ""en"")"),"Merrell as usual I am fully satisfied with these shoes unparalleled comfort and very good quality easy to put")</f>
        <v>Merrell as usual I am fully satisfied with these shoes unparalleled comfort and very good quality easy to put</v>
      </c>
    </row>
    <row r="4866">
      <c r="A4866" s="1">
        <v>5.0</v>
      </c>
      <c r="B4866" s="1" t="s">
        <v>4809</v>
      </c>
      <c r="C4866" t="str">
        <f>IFERROR(__xludf.DUMMYFUNCTION("GOOGLETRANSLATE(B4866, ""fr"", ""en"")"),"Very Good Good practice")</f>
        <v>Very Good Good practice</v>
      </c>
    </row>
    <row r="4867">
      <c r="A4867" s="1">
        <v>5.0</v>
      </c>
      <c r="B4867" s="1" t="s">
        <v>4810</v>
      </c>
      <c r="C4867" t="str">
        <f>IFERROR(__xludf.DUMMYFUNCTION("GOOGLETRANSLATE(B4867, ""fr"", ""en"")"),"Top Very good 💪💪")</f>
        <v>Top Very good 💪💪</v>
      </c>
    </row>
    <row r="4868">
      <c r="A4868" s="1">
        <v>5.0</v>
      </c>
      <c r="B4868" s="1" t="s">
        <v>4811</v>
      </c>
      <c r="C4868" t="str">
        <f>IFERROR(__xludf.DUMMYFUNCTION("GOOGLETRANSLATE(B4868, ""fr"", ""en"")"),"The headphones perfect! Super headphones! This 3 days that I had yesterday and I was calling and I never was able to test the autonomy of the left earpiece yes I said though the left because after 3h30-4h the left earphone is extinguished therefore I said"&amp;" was crap the right earpiece will no longer work because the left and the main earphone but if! I could finish my call so 30min more and earphone law was always on my girlfriend always got along with the microphone headphones (also top celon it) in short "&amp;"awesome sound and perfect bass and actually present which is very pleasing to my ears! Earpiece Top in 3jour I received the box with 76% percent is currently 62% so just sincerely top PARFAIIIT! More than to test the battery to recharge my phone.")</f>
        <v>The headphones perfect! Super headphones! This 3 days that I had yesterday and I was calling and I never was able to test the autonomy of the left earpiece yes I said though the left because after 3h30-4h the left earphone is extinguished therefore I said was crap the right earpiece will no longer work because the left and the main earphone but if! I could finish my call so 30min more and earphone law was always on my girlfriend always got along with the microphone headphones (also top celon it) in short awesome sound and perfect bass and actually present which is very pleasing to my ears! Earpiece Top in 3jour I received the box with 76% percent is currently 62% so just sincerely top PARFAIIIT! More than to test the battery to recharge my phone.</v>
      </c>
    </row>
    <row r="4869">
      <c r="A4869" s="1">
        <v>5.0</v>
      </c>
      <c r="B4869" s="1" t="s">
        <v>4812</v>
      </c>
      <c r="C4869" t="str">
        <f>IFERROR(__xludf.DUMMYFUNCTION("GOOGLETRANSLATE(B4869, ""fr"", ""en"")"),"Perfect product conformity. Nothing wrong. State of the perfect product.")</f>
        <v>Perfect product conformity. Nothing wrong. State of the perfect product.</v>
      </c>
    </row>
    <row r="4870">
      <c r="A4870" s="1">
        <v>5.0</v>
      </c>
      <c r="B4870" s="1" t="s">
        <v>4813</v>
      </c>
      <c r="C4870" t="str">
        <f>IFERROR(__xludf.DUMMYFUNCTION("GOOGLETRANSLATE(B4870, ""fr"", ""en"")"),"The comfortable leggings arrived before the deadline. I put it to walking. It is very well 😊")</f>
        <v>The comfortable leggings arrived before the deadline. I put it to walking. It is very well 😊</v>
      </c>
    </row>
    <row r="4871">
      <c r="A4871" s="1">
        <v>5.0</v>
      </c>
      <c r="B4871" s="1" t="s">
        <v>4814</v>
      </c>
      <c r="C4871" t="str">
        <f>IFERROR(__xludf.DUMMYFUNCTION("GOOGLETRANSLATE(B4871, ""fr"", ""en"")"),"Meets the expectations of my daughter This is my daughter's birthday gift to his girlfriend We recommend")</f>
        <v>Meets the expectations of my daughter This is my daughter's birthday gift to his girlfriend We recommend</v>
      </c>
    </row>
    <row r="4872">
      <c r="A4872" s="1">
        <v>5.0</v>
      </c>
      <c r="B4872" s="1" t="s">
        <v>4815</v>
      </c>
      <c r="C4872" t="str">
        <f>IFERROR(__xludf.DUMMYFUNCTION("GOOGLETRANSLATE(B4872, ""fr"", ""en"")"),"Top All necessary together in a kit. My stay in maternity was not stressful because everything was")</f>
        <v>Top All necessary together in a kit. My stay in maternity was not stressful because everything was</v>
      </c>
    </row>
    <row r="4873">
      <c r="A4873" s="1">
        <v>5.0</v>
      </c>
      <c r="B4873" s="1" t="s">
        <v>4816</v>
      </c>
      <c r="C4873" t="str">
        <f>IFERROR(__xludf.DUMMYFUNCTION("GOOGLETRANSLATE(B4873, ""fr"", ""en"")"),"Very satisfactory Very good sound autonomy is good")</f>
        <v>Very satisfactory Very good sound autonomy is good</v>
      </c>
    </row>
    <row r="4874">
      <c r="A4874" s="1">
        <v>5.0</v>
      </c>
      <c r="B4874" s="1" t="s">
        <v>4817</v>
      </c>
      <c r="C4874" t="str">
        <f>IFERROR(__xludf.DUMMYFUNCTION("GOOGLETRANSLATE(B4874, ""fr"", ""en"")"),"Beautiful black Ideal for kitchen work and walking. It should take 1 or 2 sizes above its usual size. I play 44, I bought the 45-46 model.")</f>
        <v>Beautiful black Ideal for kitchen work and walking. It should take 1 or 2 sizes above its usual size. I play 44, I bought the 45-46 model.</v>
      </c>
    </row>
    <row r="4875">
      <c r="A4875" s="1">
        <v>5.0</v>
      </c>
      <c r="B4875" s="1" t="s">
        <v>4818</v>
      </c>
      <c r="C4875" t="str">
        <f>IFERROR(__xludf.DUMMYFUNCTION("GOOGLETRANSLATE(B4875, ""fr"", ""en"")"),"Top Legging end, to do yoga is top. This is not a great quality, but for the price, it does the job 👍 I recommend a chance")</f>
        <v>Top Legging end, to do yoga is top. This is not a great quality, but for the price, it does the job 👍 I recommend a chance</v>
      </c>
    </row>
    <row r="4876">
      <c r="A4876" s="1">
        <v>5.0</v>
      </c>
      <c r="B4876" s="1" t="s">
        <v>4819</v>
      </c>
      <c r="C4876" t="str">
        <f>IFERROR(__xludf.DUMMYFUNCTION("GOOGLETRANSLATE(B4876, ""fr"", ""en"")"),"comfortable top line with my expectations, it is the second that I buy. S / M for 38/40. fluid, light, original and casual top very nice and goes everywhere.")</f>
        <v>comfortable top line with my expectations, it is the second that I buy. S / M for 38/40. fluid, light, original and casual top very nice and goes everywhere.</v>
      </c>
    </row>
    <row r="4877">
      <c r="A4877" s="1">
        <v>2.0</v>
      </c>
      <c r="B4877" s="1" t="s">
        <v>4820</v>
      </c>
      <c r="C4877" t="str">
        <f>IFERROR(__xludf.DUMMYFUNCTION("GOOGLETRANSLATE(B4877, ""fr"", ""en"")"),"Size nonconforming I chose size S who proves too. This is a good M .. So it is I who will put it. When the quality has been sufficiently described aesthetic ... nice but not produce very good quality.")</f>
        <v>Size nonconforming I chose size S who proves too. This is a good M .. So it is I who will put it. When the quality has been sufficiently described aesthetic ... nice but not produce very good quality.</v>
      </c>
    </row>
    <row r="4878">
      <c r="A4878" s="1">
        <v>1.0</v>
      </c>
      <c r="B4878" s="1" t="s">
        <v>4821</v>
      </c>
      <c r="C4878" t="str">
        <f>IFERROR(__xludf.DUMMYFUNCTION("GOOGLETRANSLATE(B4878, ""fr"", ""en"")"),"VERY DISAPOINTED !!!! 👎👎👎👎👎👎👎👎J'ai ordered a size 37.5 and as I received what I guess is a 38, but we can not understand because the trader to ""CANCELED"" shoe size European !!! and even a 38 shoe size would be TOO much! I find that to be a great"&amp;" lack of respect for clients clear the size !!! I will not even spend the money for the return, I will sell the shoes to my colleagues.")</f>
        <v>VERY DISAPOINTED !!!! 👎👎👎👎👎👎👎👎J'ai ordered a size 37.5 and as I received what I guess is a 38, but we can not understand because the trader to "CANCELED" shoe size European !!! and even a 38 shoe size would be TOO much! I find that to be a great lack of respect for clients clear the size !!! I will not even spend the money for the return, I will sell the shoes to my colleagues.</v>
      </c>
    </row>
    <row r="4879">
      <c r="A4879" s="1">
        <v>1.0</v>
      </c>
      <c r="B4879" s="1" t="s">
        <v>4822</v>
      </c>
      <c r="C4879" t="str">
        <f>IFERROR(__xludf.DUMMYFUNCTION("GOOGLETRANSLATE(B4879, ""fr"", ""en"")"),"Chain too small just right for a baby not for a Woman Too small for a woman just good for baby")</f>
        <v>Chain too small just right for a baby not for a Woman Too small for a woman just good for baby</v>
      </c>
    </row>
    <row r="4880">
      <c r="A4880" s="1">
        <v>3.0</v>
      </c>
      <c r="B4880" s="1" t="s">
        <v>4823</v>
      </c>
      <c r="C4880" t="str">
        <f>IFERROR(__xludf.DUMMYFUNCTION("GOOGLETRANSLATE(B4880, ""fr"", ""en"")"),"Too right on top Too bad my kick will not fit in it :(")</f>
        <v>Too right on top Too bad my kick will not fit in it :(</v>
      </c>
    </row>
    <row r="4881">
      <c r="A4881" s="1">
        <v>4.0</v>
      </c>
      <c r="B4881" s="1" t="s">
        <v>4824</v>
      </c>
      <c r="C4881" t="str">
        <f>IFERROR(__xludf.DUMMYFUNCTION("GOOGLETRANSLATE(B4881, ""fr"", ""en"")"),"too beautiful too said my daughter very well the product meets the expectations of my daughter !!!")</f>
        <v>too beautiful too said my daughter very well the product meets the expectations of my daughter !!!</v>
      </c>
    </row>
    <row r="4882">
      <c r="A4882" s="1">
        <v>4.0</v>
      </c>
      <c r="B4882" s="1" t="s">
        <v>4825</v>
      </c>
      <c r="C4882" t="str">
        <f>IFERROR(__xludf.DUMMYFUNCTION("GOOGLETRANSLATE(B4882, ""fr"", ""en"")"),"Functional support, but random stability. I bought this mic support for micro Bird UM1. The media tends to fall under the weight of the microphone, once positioned over worries.")</f>
        <v>Functional support, but random stability. I bought this mic support for micro Bird UM1. The media tends to fall under the weight of the microphone, once positioned over worries.</v>
      </c>
    </row>
    <row r="4883">
      <c r="A4883" s="1">
        <v>4.0</v>
      </c>
      <c r="B4883" s="1" t="s">
        <v>4826</v>
      </c>
      <c r="C4883" t="str">
        <f>IFERROR(__xludf.DUMMYFUNCTION("GOOGLETRANSLATE(B4883, ""fr"", ""en"")"),"A little big carve rather big but nice with dark blue color on the back")</f>
        <v>A little big carve rather big but nice with dark blue color on the back</v>
      </c>
    </row>
    <row r="4884">
      <c r="A4884" s="1">
        <v>4.0</v>
      </c>
      <c r="B4884" s="1" t="s">
        <v>4827</v>
      </c>
      <c r="C4884" t="str">
        <f>IFERROR(__xludf.DUMMYFUNCTION("GOOGLETRANSLATE(B4884, ""fr"", ""en"")"),"Book pk Great Coloring Book.")</f>
        <v>Book pk Great Coloring Book.</v>
      </c>
    </row>
    <row r="4885">
      <c r="A4885" s="1">
        <v>4.0</v>
      </c>
      <c r="B4885" s="1" t="s">
        <v>4828</v>
      </c>
      <c r="C4885" t="str">
        <f>IFERROR(__xludf.DUMMYFUNCTION("GOOGLETRANSLATE(B4885, ""fr"", ""en"")"),"Cool! They are so pretty! By cons really predict size and more. super fast delivery!")</f>
        <v>Cool! They are so pretty! By cons really predict size and more. super fast delivery!</v>
      </c>
    </row>
    <row r="4886">
      <c r="A4886" s="1">
        <v>5.0</v>
      </c>
      <c r="B4886" s="1" t="s">
        <v>4829</v>
      </c>
      <c r="C4886" t="str">
        <f>IFERROR(__xludf.DUMMYFUNCTION("GOOGLETRANSLATE(B4886, ""fr"", ""en"")"),"price quality. ring open SHEGRACE 925 Sterline, pattern Tree of Life () is the name I give him. green branch to the end of the foliage. for the price it really classy. I really love it, and can advise.")</f>
        <v>price quality. ring open SHEGRACE 925 Sterline, pattern Tree of Life () is the name I give him. green branch to the end of the foliage. for the price it really classy. I really love it, and can advise.</v>
      </c>
    </row>
    <row r="4887">
      <c r="A4887" s="1">
        <v>5.0</v>
      </c>
      <c r="B4887" s="1" t="s">
        <v>4830</v>
      </c>
      <c r="C4887" t="str">
        <f>IFERROR(__xludf.DUMMYFUNCTION("GOOGLETRANSLATE(B4887, ""fr"", ""en"")"),"great product This product has helped to eliminate the long inlaid work in my car purchased second-hand. I had to go twice but the result is excellent. Fast delivery, no complaints.")</f>
        <v>great product This product has helped to eliminate the long inlaid work in my car purchased second-hand. I had to go twice but the result is excellent. Fast delivery, no complaints.</v>
      </c>
    </row>
    <row r="4888">
      <c r="A4888" s="1">
        <v>5.0</v>
      </c>
      <c r="B4888" s="1" t="s">
        <v>4831</v>
      </c>
      <c r="C4888" t="str">
        <f>IFERROR(__xludf.DUMMYFUNCTION("GOOGLETRANSLATE(B4888, ""fr"", ""en"")"),"Do the taf The cartridges were received quickly and seriously packed. The finish of the cartridge is serious, it exudes seriously. On first use, a message announces that this is not an official HP cartridge. Aside from that, it works fine for a much lower"&amp;" price. I am satisfied and recommend it.")</f>
        <v>Do the taf The cartridges were received quickly and seriously packed. The finish of the cartridge is serious, it exudes seriously. On first use, a message announces that this is not an official HP cartridge. Aside from that, it works fine for a much lower price. I am satisfied and recommend it.</v>
      </c>
    </row>
    <row r="4889">
      <c r="A4889" s="1">
        <v>5.0</v>
      </c>
      <c r="B4889" s="1" t="s">
        <v>4832</v>
      </c>
      <c r="C4889" t="str">
        <f>IFERROR(__xludf.DUMMYFUNCTION("GOOGLETRANSLATE(B4889, ""fr"", ""en"")"),"Great I love them! Paid 23.95 with the delivery, the color is top, they are comfortable and well sized. The node a small effect.")</f>
        <v>Great I love them! Paid 23.95 with the delivery, the color is top, they are comfortable and well sized. The node a small effect.</v>
      </c>
    </row>
    <row r="4890">
      <c r="A4890" s="1">
        <v>5.0</v>
      </c>
      <c r="B4890" s="1" t="s">
        <v>4833</v>
      </c>
      <c r="C4890" t="str">
        <f>IFERROR(__xludf.DUMMYFUNCTION("GOOGLETRANSLATE(B4890, ""fr"", ""en"")"),"quality I did not know what to give for a friend's birthday. So bluetooth headphones seem fine. The quality is very good, the quality of listening is waiting for you. I highly recommend it.")</f>
        <v>quality I did not know what to give for a friend's birthday. So bluetooth headphones seem fine. The quality is very good, the quality of listening is waiting for you. I highly recommend it.</v>
      </c>
    </row>
    <row r="4891">
      <c r="A4891" s="1">
        <v>5.0</v>
      </c>
      <c r="B4891" s="1" t="s">
        <v>4834</v>
      </c>
      <c r="C4891" t="str">
        <f>IFERROR(__xludf.DUMMYFUNCTION("GOOGLETRANSLATE(B4891, ""fr"", ""en"")"),"We have fun ! Consistent with the description. Easy to use. Instructions in English. It is used either Bluetooth or just to have the sound of the voice")</f>
        <v>We have fun ! Consistent with the description. Easy to use. Instructions in English. It is used either Bluetooth or just to have the sound of the voice</v>
      </c>
    </row>
    <row r="4892">
      <c r="A4892" s="1">
        <v>5.0</v>
      </c>
      <c r="B4892" s="1" t="s">
        <v>4835</v>
      </c>
      <c r="C4892" t="str">
        <f>IFERROR(__xludf.DUMMYFUNCTION("GOOGLETRANSLATE(B4892, ""fr"", ""en"")"),"Just right nor too small nor too big. But just for the wallet and some trinkets. Holds easily in a coat pocket.")</f>
        <v>Just right nor too small nor too big. But just for the wallet and some trinkets. Holds easily in a coat pocket.</v>
      </c>
    </row>
    <row r="4893">
      <c r="A4893" s="1">
        <v>5.0</v>
      </c>
      <c r="B4893" s="1" t="s">
        <v>4836</v>
      </c>
      <c r="C4893" t="str">
        <f>IFERROR(__xludf.DUMMYFUNCTION("GOOGLETRANSLATE(B4893, ""fr"", ""en"")"),"Good Good practice 4 min c is therefore very convenient Great for quick bottle. Parcontre very hot to the left the microwave.")</f>
        <v>Good Good practice 4 min c is therefore very convenient Great for quick bottle. Parcontre very hot to the left the microwave.</v>
      </c>
    </row>
    <row r="4894">
      <c r="A4894" s="1">
        <v>5.0</v>
      </c>
      <c r="B4894" s="1" t="s">
        <v>4837</v>
      </c>
      <c r="C4894" t="str">
        <f>IFERROR(__xludf.DUMMYFUNCTION("GOOGLETRANSLATE(B4894, ""fr"", ""en"")"),"Good product for Terminales who need to make sketches at LAC ... Product adapted for geography sketches for IBC !! Good luck to everyone")</f>
        <v>Good product for Terminales who need to make sketches at LAC ... Product adapted for geography sketches for IBC !! Good luck to everyone</v>
      </c>
    </row>
    <row r="4895">
      <c r="A4895" s="1">
        <v>5.0</v>
      </c>
      <c r="B4895" s="1" t="s">
        <v>4838</v>
      </c>
      <c r="C4895" t="str">
        <f>IFERROR(__xludf.DUMMYFUNCTION("GOOGLETRANSLATE(B4895, ""fr"", ""en"")"),"Bluetooth headphones perfect Lightweight and comfortable, they are very easy to use and great durability. With their load box small they carry everywhere. They fulfill all their promises and I do not get enough. To adopt without hesitation.")</f>
        <v>Bluetooth headphones perfect Lightweight and comfortable, they are very easy to use and great durability. With their load box small they carry everywhere. They fulfill all their promises and I do not get enough. To adopt without hesitation.</v>
      </c>
    </row>
    <row r="4896">
      <c r="A4896" s="1">
        <v>5.0</v>
      </c>
      <c r="B4896" s="1" t="s">
        <v>4839</v>
      </c>
      <c r="C4896" t="str">
        <f>IFERROR(__xludf.DUMMYFUNCTION("GOOGLETRANSLATE(B4896, ""fr"", ""en"")"),"beautiful basketball basketball comfortable single good quality as the picture")</f>
        <v>beautiful basketball basketball comfortable single good quality as the picture</v>
      </c>
    </row>
    <row r="4897">
      <c r="A4897" s="1">
        <v>5.0</v>
      </c>
      <c r="B4897" s="1" t="s">
        <v>4840</v>
      </c>
      <c r="C4897" t="str">
        <f>IFERROR(__xludf.DUMMYFUNCTION("GOOGLETRANSLATE(B4897, ""fr"", ""en"")"),"IN THE TOP !! I do not regret this purchase. Super comfortable, nice finish and consistent with the picture. I'll probably buy me white pair and my mom also wants after testing mine. :) I highly recommend especially for sunny days.")</f>
        <v>IN THE TOP !! I do not regret this purchase. Super comfortable, nice finish and consistent with the picture. I'll probably buy me white pair and my mom also wants after testing mine. :) I highly recommend especially for sunny days.</v>
      </c>
    </row>
    <row r="4898">
      <c r="A4898" s="1">
        <v>5.0</v>
      </c>
      <c r="B4898" s="1" t="s">
        <v>4841</v>
      </c>
      <c r="C4898" t="str">
        <f>IFERROR(__xludf.DUMMYFUNCTION("GOOGLETRANSLATE(B4898, ""fr"", ""en"")"),"Although Recommended")</f>
        <v>Although Recommended</v>
      </c>
    </row>
    <row r="4899">
      <c r="A4899" s="1">
        <v>5.0</v>
      </c>
      <c r="B4899" s="1" t="s">
        <v>4842</v>
      </c>
      <c r="C4899" t="str">
        <f>IFERROR(__xludf.DUMMYFUNCTION("GOOGLETRANSLATE(B4899, ""fr"", ""en"")"),"Good Nibbler Great product complies with very good value description.")</f>
        <v>Good Nibbler Great product complies with very good value description.</v>
      </c>
    </row>
    <row r="4900">
      <c r="A4900" s="1">
        <v>5.0</v>
      </c>
      <c r="B4900" s="1" t="s">
        <v>4843</v>
      </c>
      <c r="C4900" t="str">
        <f>IFERROR(__xludf.DUMMYFUNCTION("GOOGLETRANSLATE(B4900, ""fr"", ""en"")"),"Good foot had to replace my Running shoes, I found this pair that had me ok. I like the proposed color well, I chose dark gray with some blue but not too much that remains discreet, not too showy as I wanted. At the inside foot is in place and well mainta"&amp;"ined, very comfortable and made for use both in the way with a good performance but also on the road with good cushioning. Good footwear of choice")</f>
        <v>Good foot had to replace my Running shoes, I found this pair that had me ok. I like the proposed color well, I chose dark gray with some blue but not too much that remains discreet, not too showy as I wanted. At the inside foot is in place and well maintained, very comfortable and made for use both in the way with a good performance but also on the road with good cushioning. Good footwear of choice</v>
      </c>
    </row>
    <row r="4901">
      <c r="A4901" s="1">
        <v>2.0</v>
      </c>
      <c r="B4901" s="1" t="s">
        <v>4844</v>
      </c>
      <c r="C4901" t="str">
        <f>IFERROR(__xludf.DUMMYFUNCTION("GOOGLETRANSLATE(B4901, ""fr"", ""en"")"),"Quail Quail Quail Quail")</f>
        <v>Quail Quail Quail Quail</v>
      </c>
    </row>
    <row r="4902">
      <c r="A4902" s="1">
        <v>1.0</v>
      </c>
      <c r="B4902" s="1" t="s">
        <v>4845</v>
      </c>
      <c r="C4902" t="str">
        <f>IFERROR(__xludf.DUMMYFUNCTION("GOOGLETRANSLATE(B4902, ""fr"", ""en"")"),"imposing bag that rubs Really disappointed with this purchase imposing bag and more it loses it color and leather color that rubbed off on my dressed again I do not manage to remove stains I do not recommend Thanks 😅")</f>
        <v>imposing bag that rubs Really disappointed with this purchase imposing bag and more it loses it color and leather color that rubbed off on my dressed again I do not manage to remove stains I do not recommend Thanks 😅</v>
      </c>
    </row>
    <row r="4903">
      <c r="A4903" s="1">
        <v>3.0</v>
      </c>
      <c r="B4903" s="1" t="s">
        <v>4846</v>
      </c>
      <c r="C4903" t="str">
        <f>IFERROR(__xludf.DUMMYFUNCTION("GOOGLETRANSLATE(B4903, ""fr"", ""en"")"),"Unusable average debit note for me, I bought them because I saw speed slow but got average speed. Finally I opted for the medela calmed and it works wonderfully.")</f>
        <v>Unusable average debit note for me, I bought them because I saw speed slow but got average speed. Finally I opted for the medela calmed and it works wonderfully.</v>
      </c>
    </row>
    <row r="4904">
      <c r="A4904" s="1">
        <v>3.0</v>
      </c>
      <c r="B4904" s="1" t="s">
        <v>4847</v>
      </c>
      <c r="C4904" t="str">
        <f>IFERROR(__xludf.DUMMYFUNCTION("GOOGLETRANSLATE(B4904, ""fr"", ""en"")"),"Teen satisfied My 12 year old son is very happy to store its transportation card, canteen, his keys, his mobile.")</f>
        <v>Teen satisfied My 12 year old son is very happy to store its transportation card, canteen, his keys, his mobile.</v>
      </c>
    </row>
    <row r="4905">
      <c r="A4905" s="1">
        <v>4.0</v>
      </c>
      <c r="B4905" s="1" t="s">
        <v>4848</v>
      </c>
      <c r="C4905" t="str">
        <f>IFERROR(__xludf.DUMMYFUNCTION("GOOGLETRANSLATE(B4905, ""fr"", ""en"")"),"Meets Super pictures")</f>
        <v>Meets Super pictures</v>
      </c>
    </row>
    <row r="4906">
      <c r="A4906" s="1">
        <v>4.0</v>
      </c>
      <c r="B4906" s="1" t="s">
        <v>4849</v>
      </c>
      <c r="C4906" t="str">
        <f>IFERROR(__xludf.DUMMYFUNCTION("GOOGLETRANSLATE(B4906, ""fr"", ""en"")"),"Effective when you meet certain rules, and remember: it is an insecticide! NOT for babies under 2 years This is an insecticide, so it is a product that is not safe at all. Yes, the mosquitoes is super painful and it regularly prevents us from sleeping wel"&amp;"l, but keep in mind that this is a product that TEU insects, so it can not be good for us either ... Not recommended strongly for babies, never below 2 years !! Here are the warnings on the Amazon page that speaks volumes: This article is subject to speci"&amp;"fic warnings and safety information Very toxic to aquatic life with long-term effects May be fatal if swallowed and enters respiratory tract Use biocides safely. I used several taken with liquids (such as Catch, Five on Five), Raid has the advantage of no"&amp;"t feeling and be relatively efficient, which is not the case with other, unfortunately. Warning, there are scented refills in Raid, make no mistake product. I advise you to connect 30 minutes before going to bed and as soon as night falls and you have the"&amp;" lights on in your house. It was at that moment that they return home. Never connect a multi-plug socket, but only in a wall outlet vertically to verify that it remains liquid before connecting and disconnecting the day (this model has no system where you"&amp;" can choose letting the light 8, 12 or 24, the Raid purchased Monoprix have by cons). Do not cover with a cloth, away from curtains, sheets, etc. I can not stand to sleep with windows closed, especially when it's hot, so I early evening branch and I sleep"&amp;" with the window open, door closed. And it works !")</f>
        <v>Effective when you meet certain rules, and remember: it is an insecticide! NOT for babies under 2 years This is an insecticide, so it is a product that is not safe at all. Yes, the mosquitoes is super painful and it regularly prevents us from sleeping well, but keep in mind that this is a product that TEU insects, so it can not be good for us either ... Not recommended strongly for babies, never below 2 years !! Here are the warnings on the Amazon page that speaks volumes: This article is subject to specific warnings and safety information Very toxic to aquatic life with long-term effects May be fatal if swallowed and enters respiratory tract Use biocides safely. I used several taken with liquids (such as Catch, Five on Five), Raid has the advantage of not feeling and be relatively efficient, which is not the case with other, unfortunately. Warning, there are scented refills in Raid, make no mistake product. I advise you to connect 30 minutes before going to bed and as soon as night falls and you have the lights on in your house. It was at that moment that they return home. Never connect a multi-plug socket, but only in a wall outlet vertically to verify that it remains liquid before connecting and disconnecting the day (this model has no system where you can choose letting the light 8, 12 or 24, the Raid purchased Monoprix have by cons). Do not cover with a cloth, away from curtains, sheets, etc. I can not stand to sleep with windows closed, especially when it's hot, so I early evening branch and I sleep with the window open, door closed. And it works !</v>
      </c>
    </row>
    <row r="4907">
      <c r="A4907" s="1">
        <v>4.0</v>
      </c>
      <c r="B4907" s="1" t="s">
        <v>4850</v>
      </c>
      <c r="C4907" t="str">
        <f>IFERROR(__xludf.DUMMYFUNCTION("GOOGLETRANSLATE(B4907, ""fr"", ""en"")"),"very soft and warm practice model for the present time work")</f>
        <v>very soft and warm practice model for the present time work</v>
      </c>
    </row>
    <row r="4908">
      <c r="A4908" s="1">
        <v>4.0</v>
      </c>
      <c r="B4908" s="1" t="s">
        <v>4851</v>
      </c>
      <c r="C4908" t="str">
        <f>IFERROR(__xludf.DUMMYFUNCTION("GOOGLETRANSLATE(B4908, ""fr"", ""en"")"),"Good value for money The watch is not luxurious, it is not worth much but properly accomplished its mission: display the time. It very handy and convenient. Quick start and no need for a third person to help carry it. If you can not you buy a luxury watch"&amp;" or if you find the minimum with a watch I advise you.")</f>
        <v>Good value for money The watch is not luxurious, it is not worth much but properly accomplished its mission: display the time. It very handy and convenient. Quick start and no need for a third person to help carry it. If you can not you buy a luxury watch or if you find the minimum with a watch I advise you.</v>
      </c>
    </row>
    <row r="4909">
      <c r="A4909" s="1">
        <v>5.0</v>
      </c>
      <c r="B4909" s="1" t="s">
        <v>4852</v>
      </c>
      <c r="C4909" t="str">
        <f>IFERROR(__xludf.DUMMYFUNCTION("GOOGLETRANSLATE(B4909, ""fr"", ""en"")"),"Perfect satisfied with our purchase Good value for the use that is made (listening to music or movie)")</f>
        <v>Perfect satisfied with our purchase Good value for the use that is made (listening to music or movie)</v>
      </c>
    </row>
    <row r="4910">
      <c r="A4910" s="1">
        <v>5.0</v>
      </c>
      <c r="B4910" s="1" t="s">
        <v>4853</v>
      </c>
      <c r="C4910" t="str">
        <f>IFERROR(__xludf.DUMMYFUNCTION("GOOGLETRANSLATE(B4910, ""fr"", ""en"")"),"Very good product very good quality product and robust content to this purchase")</f>
        <v>Very good product very good quality product and robust content to this purchase</v>
      </c>
    </row>
    <row r="4911">
      <c r="A4911" s="1">
        <v>5.0</v>
      </c>
      <c r="B4911" s="1" t="s">
        <v>4854</v>
      </c>
      <c r="C4911" t="str">
        <f>IFERROR(__xludf.DUMMYFUNCTION("GOOGLETRANSLATE(B4911, ""fr"", ""en"")"),"Great headphones! Super Bluetooth headphones, They have a good performance in the ears and do not stand out much, so they are fairly discreet! Easy to use thanks to the touch (just learn the manipulation for the various touch functions) Battery headphones"&amp;" takes a relatively long time, as well as that of the base, with 3500 mAh that will even recharge a phone or anything else . I recommend these headphones!")</f>
        <v>Great headphones! Super Bluetooth headphones, They have a good performance in the ears and do not stand out much, so they are fairly discreet! Easy to use thanks to the touch (just learn the manipulation for the various touch functions) Battery headphones takes a relatively long time, as well as that of the base, with 3500 mAh that will even recharge a phone or anything else . I recommend these headphones!</v>
      </c>
    </row>
    <row r="4912">
      <c r="A4912" s="1">
        <v>5.0</v>
      </c>
      <c r="B4912" s="1" t="s">
        <v>4855</v>
      </c>
      <c r="C4912" t="str">
        <f>IFERROR(__xludf.DUMMYFUNCTION("GOOGLETRANSLATE(B4912, ""fr"", ""en"")"),"surprised very nice man shows. the quality is by appointment. is not low-end malgres price.")</f>
        <v>surprised very nice man shows. the quality is by appointment. is not low-end malgres price.</v>
      </c>
    </row>
    <row r="4913">
      <c r="A4913" s="1">
        <v>5.0</v>
      </c>
      <c r="B4913" s="1" t="s">
        <v>4856</v>
      </c>
      <c r="C4913" t="str">
        <f>IFERROR(__xludf.DUMMYFUNCTION("GOOGLETRANSLATE(B4913, ""fr"", ""en"")"),"Bracelet natural stones 7 chakra bracelets Very bau, the stones are of good quality, I like the bear")</f>
        <v>Bracelet natural stones 7 chakra bracelets Very bau, the stones are of good quality, I like the bear</v>
      </c>
    </row>
    <row r="4914">
      <c r="A4914" s="1">
        <v>5.0</v>
      </c>
      <c r="B4914" s="1" t="s">
        <v>4857</v>
      </c>
      <c r="C4914" t="str">
        <f>IFERROR(__xludf.DUMMYFUNCTION("GOOGLETRANSLATE(B4914, ""fr"", ""en"")"),"Useful good product and well designed. comfortable shoulder strap adjustment")</f>
        <v>Useful good product and well designed. comfortable shoulder strap adjustment</v>
      </c>
    </row>
    <row r="4915">
      <c r="A4915" s="1">
        <v>5.0</v>
      </c>
      <c r="B4915" s="1" t="s">
        <v>4858</v>
      </c>
      <c r="C4915" t="str">
        <f>IFERROR(__xludf.DUMMYFUNCTION("GOOGLETRANSLATE(B4915, ""fr"", ""en"")"),"Converse superb product according to the description. The Chuck Taylor original and timeless as we love them. Attention to size, large size Converse. I am a 43 at Nike but I took a 41.5 for this model after several trials in store.")</f>
        <v>Converse superb product according to the description. The Chuck Taylor original and timeless as we love them. Attention to size, large size Converse. I am a 43 at Nike but I took a 41.5 for this model after several trials in store.</v>
      </c>
    </row>
    <row r="4916">
      <c r="A4916" s="1">
        <v>5.0</v>
      </c>
      <c r="B4916" s="1" t="s">
        <v>4859</v>
      </c>
      <c r="C4916" t="str">
        <f>IFERROR(__xludf.DUMMYFUNCTION("GOOGLETRANSLATE(B4916, ""fr"", ""en"")"),"luxury watch very flat and very nice style and good value")</f>
        <v>luxury watch very flat and very nice style and good value</v>
      </c>
    </row>
    <row r="4917">
      <c r="A4917" s="1">
        <v>5.0</v>
      </c>
      <c r="B4917" s="1" t="s">
        <v>4860</v>
      </c>
      <c r="C4917" t="str">
        <f>IFERROR(__xludf.DUMMYFUNCTION("GOOGLETRANSLATE(B4917, ""fr"", ""en"")"),"Perfect Good product price / quality, convenient, I recommend.")</f>
        <v>Perfect Good product price / quality, convenient, I recommend.</v>
      </c>
    </row>
    <row r="4918">
      <c r="A4918" s="1">
        <v>5.0</v>
      </c>
      <c r="B4918" s="1" t="s">
        <v>4861</v>
      </c>
      <c r="C4918" t="str">
        <f>IFERROR(__xludf.DUMMYFUNCTION("GOOGLETRANSLATE(B4918, ""fr"", ""en"")"),"Very good product, I recommend. Very good product, I recommend. The converse sneakers are reliable, perfect for leisure activities, walks, etc ....")</f>
        <v>Very good product, I recommend. Very good product, I recommend. The converse sneakers are reliable, perfect for leisure activities, walks, etc ....</v>
      </c>
    </row>
    <row r="4919">
      <c r="A4919" s="1">
        <v>5.0</v>
      </c>
      <c r="B4919" s="1" t="s">
        <v>4862</v>
      </c>
      <c r="C4919" t="str">
        <f>IFERROR(__xludf.DUMMYFUNCTION("GOOGLETRANSLATE(B4919, ""fr"", ""en"")"),"Very good bra / bra, very good quality! Very good product very comfortable, well maintained, high quality! This is not the first time I buy this product that is a quality / price very interesting.")</f>
        <v>Very good bra / bra, very good quality! Very good product very comfortable, well maintained, high quality! This is not the first time I buy this product that is a quality / price very interesting.</v>
      </c>
    </row>
    <row r="4920">
      <c r="A4920" s="1">
        <v>5.0</v>
      </c>
      <c r="B4920" s="1" t="s">
        <v>4863</v>
      </c>
      <c r="C4920" t="str">
        <f>IFERROR(__xludf.DUMMYFUNCTION("GOOGLETRANSLATE(B4920, ""fr"", ""en"")"),"Very good quality Stone is a hair smaller than the picture but I do not mind because the bracelet is fine. Magnificent bracelet and end strong. The stone to a bluish reflection that makes it even more desirable. People do not necessarily see it as it is d"&amp;"iscreet. I am very satisfied because this is what I wanted.")</f>
        <v>Very good quality Stone is a hair smaller than the picture but I do not mind because the bracelet is fine. Magnificent bracelet and end strong. The stone to a bluish reflection that makes it even more desirable. People do not necessarily see it as it is discreet. I am very satisfied because this is what I wanted.</v>
      </c>
    </row>
    <row r="4921">
      <c r="A4921" s="1">
        <v>5.0</v>
      </c>
      <c r="B4921" s="1" t="s">
        <v>4864</v>
      </c>
      <c r="C4921" t="str">
        <f>IFERROR(__xludf.DUMMYFUNCTION("GOOGLETRANSLATE(B4921, ""fr"", ""en"")"),"Pretty Very pretty. It makes a beautiful effect. Quick and neat delivery. Hearsay I recommend this article")</f>
        <v>Pretty Very pretty. It makes a beautiful effect. Quick and neat delivery. Hearsay I recommend this article</v>
      </c>
    </row>
    <row r="4922">
      <c r="A4922" s="1">
        <v>5.0</v>
      </c>
      <c r="B4922" s="1" t="s">
        <v>4865</v>
      </c>
      <c r="C4922" t="str">
        <f>IFERROR(__xludf.DUMMYFUNCTION("GOOGLETRANSLATE(B4922, ""fr"", ""en"")"),"Of Pretty stoppers")</f>
        <v>Of Pretty stoppers</v>
      </c>
    </row>
    <row r="4923">
      <c r="A4923" s="1">
        <v>5.0</v>
      </c>
      <c r="B4923" s="1" t="s">
        <v>4866</v>
      </c>
      <c r="C4923" t="str">
        <f>IFERROR(__xludf.DUMMYFUNCTION("GOOGLETRANSLATE(B4923, ""fr"", ""en"")"),"pretty cool and well")</f>
        <v>pretty cool and well</v>
      </c>
    </row>
    <row r="4924">
      <c r="A4924" s="1">
        <v>5.0</v>
      </c>
      <c r="B4924" s="1" t="s">
        <v>4867</v>
      </c>
      <c r="C4924" t="str">
        <f>IFERROR(__xludf.DUMMYFUNCTION("GOOGLETRANSLATE(B4924, ""fr"", ""en"")"),"Super mixer bottle We had trouble properly mix the milk thickened with our baby, with this mixer that has become a game of enfàt. Hyper fast farewell lumps after only 4-5 seconds in the bottle. The stem is difficult to remove we clean carefully without th"&amp;"e oter To avoid breaking it. Entertaining but works well.")</f>
        <v>Super mixer bottle We had trouble properly mix the milk thickened with our baby, with this mixer that has become a game of enfàt. Hyper fast farewell lumps after only 4-5 seconds in the bottle. The stem is difficult to remove we clean carefully without the oter To avoid breaking it. Entertaining but works well.</v>
      </c>
    </row>
    <row r="4925">
      <c r="A4925" s="1">
        <v>2.0</v>
      </c>
      <c r="B4925" s="1" t="s">
        <v>4868</v>
      </c>
      <c r="C4925" t="str">
        <f>IFERROR(__xludf.DUMMYFUNCTION("GOOGLETRANSLATE(B4925, ""fr"", ""en"")"),"Not suitable for sport I recommend for sport.")</f>
        <v>Not suitable for sport I recommend for sport.</v>
      </c>
    </row>
    <row r="4926">
      <c r="A4926" s="1">
        <v>1.0</v>
      </c>
      <c r="B4926" s="1" t="s">
        <v>4869</v>
      </c>
      <c r="C4926" t="str">
        <f>IFERROR(__xludf.DUMMYFUNCTION("GOOGLETRANSLATE(B4926, ""fr"", ""en"")"),"very average size M = S manufacturing quality close to the horrible synthetic nullity and not wear agrébale I do not recommend")</f>
        <v>very average size M = S manufacturing quality close to the horrible synthetic nullity and not wear agrébale I do not recommend</v>
      </c>
    </row>
    <row r="4927">
      <c r="A4927" s="1">
        <v>1.0</v>
      </c>
      <c r="B4927" s="1" t="s">
        <v>4870</v>
      </c>
      <c r="C4927" t="str">
        <f>IFERROR(__xludf.DUMMYFUNCTION("GOOGLETRANSLATE(B4927, ""fr"", ""en"")"),"Earrings stems earrings are all twisted impossible to put them. very disappointed")</f>
        <v>Earrings stems earrings are all twisted impossible to put them. very disappointed</v>
      </c>
    </row>
    <row r="4928">
      <c r="A4928" s="1">
        <v>3.0</v>
      </c>
      <c r="B4928" s="1" t="s">
        <v>4871</v>
      </c>
      <c r="C4928" t="str">
        <f>IFERROR(__xludf.DUMMYFUNCTION("GOOGLETRANSLATE(B4928, ""fr"", ""en"")"),"yes but pretty cup, can be a little small size, parcontre leather quality is very fine I thought I had something thicker and the flow is much less say than expected, blander")</f>
        <v>yes but pretty cup, can be a little small size, parcontre leather quality is very fine I thought I had something thicker and the flow is much less say than expected, blander</v>
      </c>
    </row>
    <row r="4929">
      <c r="A4929" s="1">
        <v>3.0</v>
      </c>
      <c r="B4929" s="1" t="s">
        <v>4872</v>
      </c>
      <c r="C4929" t="str">
        <f>IFERROR(__xludf.DUMMYFUNCTION("GOOGLETRANSLATE(B4929, ""fr"", ""en"")"),"handkerchiefs handkerchief second choice these ""recycled"" Presto! Handkerchiefs thicknesses 4, Lot 42 Cases are actually recycled papers composed and not of old handkerchiefs. this recycled part explains the color that is not white immaculate. to be gen"&amp;"tle enough to touch the face, these handkerchiefs will use also not only recycled paper. ultimately, in terms of quality and softness is very average. to blow your nose regularly when your nose runs galore, I advise against you. but if you are not cozy an"&amp;"d eco responsibility is important to you ....")</f>
        <v>handkerchiefs handkerchief second choice these "recycled" Presto! Handkerchiefs thicknesses 4, Lot 42 Cases are actually recycled papers composed and not of old handkerchiefs. this recycled part explains the color that is not white immaculate. to be gentle enough to touch the face, these handkerchiefs will use also not only recycled paper. ultimately, in terms of quality and softness is very average. to blow your nose regularly when your nose runs galore, I advise against you. but if you are not cozy and eco responsibility is important to you ....</v>
      </c>
    </row>
    <row r="4930">
      <c r="A4930" s="1">
        <v>4.0</v>
      </c>
      <c r="B4930" s="1" t="s">
        <v>4873</v>
      </c>
      <c r="C4930" t="str">
        <f>IFERROR(__xludf.DUMMYFUNCTION("GOOGLETRANSLATE(B4930, ""fr"", ""en"")"),"Cartridge 570 xl Received on time. I'm just starting to use them. See for longevity, but they have more container than the old.")</f>
        <v>Cartridge 570 xl Received on time. I'm just starting to use them. See for longevity, but they have more container than the old.</v>
      </c>
    </row>
    <row r="4931">
      <c r="A4931" s="1">
        <v>4.0</v>
      </c>
      <c r="B4931" s="1" t="s">
        <v>4874</v>
      </c>
      <c r="C4931" t="str">
        <f>IFERROR(__xludf.DUMMYFUNCTION("GOOGLETRANSLATE(B4931, ""fr"", ""en"")"),"size without much surprise to the size, rather pretty and comfortable.")</f>
        <v>size without much surprise to the size, rather pretty and comfortable.</v>
      </c>
    </row>
    <row r="4932">
      <c r="A4932" s="1">
        <v>4.0</v>
      </c>
      <c r="B4932" s="1" t="s">
        <v>4875</v>
      </c>
      <c r="C4932" t="str">
        <f>IFERROR(__xludf.DUMMYFUNCTION("GOOGLETRANSLATE(B4932, ""fr"", ""en"")"),"bag handy chest to go out because this bag is very convenient for me and it has a free hand. See one is reassured")</f>
        <v>bag handy chest to go out because this bag is very convenient for me and it has a free hand. See one is reassured</v>
      </c>
    </row>
    <row r="4933">
      <c r="A4933" s="1">
        <v>4.0</v>
      </c>
      <c r="B4933" s="1" t="s">
        <v>4876</v>
      </c>
      <c r="C4933" t="str">
        <f>IFERROR(__xludf.DUMMYFUNCTION("GOOGLETRANSLATE(B4933, ""fr"", ""en"")"),"Loses minutes a time at once and not constantly I bought in to put the week at work Very nice, bright and see the bracelet may be too fragile to lose stripes minutes time once and not continuously The dial is not tiree")</f>
        <v>Loses minutes a time at once and not constantly I bought in to put the week at work Very nice, bright and see the bracelet may be too fragile to lose stripes minutes time once and not continuously The dial is not tiree</v>
      </c>
    </row>
    <row r="4934">
      <c r="A4934" s="1">
        <v>5.0</v>
      </c>
      <c r="B4934" s="1" t="s">
        <v>1261</v>
      </c>
      <c r="C4934" t="str">
        <f>IFERROR(__xludf.DUMMYFUNCTION("GOOGLETRANSLATE(B4934, ""fr"", ""en"")"),"good good")</f>
        <v>good good</v>
      </c>
    </row>
    <row r="4935">
      <c r="A4935" s="1">
        <v>5.0</v>
      </c>
      <c r="B4935" s="1" t="s">
        <v>4877</v>
      </c>
      <c r="C4935" t="str">
        <f>IFERROR(__xludf.DUMMYFUNCTION("GOOGLETRANSLATE(B4935, ""fr"", ""en"")"),"Very good sports shorts 2 The shorts that make up this lot, one black and one white, are perfect. Purchased in size M, they are well adjusted to a big girl 160 cm.")</f>
        <v>Very good sports shorts 2 The shorts that make up this lot, one black and one white, are perfect. Purchased in size M, they are well adjusted to a big girl 160 cm.</v>
      </c>
    </row>
    <row r="4936">
      <c r="A4936" s="1">
        <v>5.0</v>
      </c>
      <c r="B4936" s="1" t="s">
        <v>4878</v>
      </c>
      <c r="C4936" t="str">
        <f>IFERROR(__xludf.DUMMYFUNCTION("GOOGLETRANSLATE(B4936, ""fr"", ""en"")"),"Stabilo woody I bought the small package to test because I am a teacher and I was looking for a product to use on my laminated posters, it's done! The pencils are easy to use on glass, on laminated paper, easy to erase; residue-free, I am delighted. The r"&amp;"ods have the appearance of crayons, but I have not yet tested the design on paper with ..... to see! I think buy by following a larger package with more colors.")</f>
        <v>Stabilo woody I bought the small package to test because I am a teacher and I was looking for a product to use on my laminated posters, it's done! The pencils are easy to use on glass, on laminated paper, easy to erase; residue-free, I am delighted. The rods have the appearance of crayons, but I have not yet tested the design on paper with ..... to see! I think buy by following a larger package with more colors.</v>
      </c>
    </row>
    <row r="4937">
      <c r="A4937" s="1">
        <v>5.0</v>
      </c>
      <c r="B4937" s="1" t="s">
        <v>4879</v>
      </c>
      <c r="C4937" t="str">
        <f>IFERROR(__xludf.DUMMYFUNCTION("GOOGLETRANSLATE(B4937, ""fr"", ""en"")"),"Value perfect price Used with bananas Amazon Basics cards, it's perfect. The cable is of good quality, is suitable for installation in an individual.")</f>
        <v>Value perfect price Used with bananas Amazon Basics cards, it's perfect. The cable is of good quality, is suitable for installation in an individual.</v>
      </c>
    </row>
    <row r="4938">
      <c r="A4938" s="1">
        <v>5.0</v>
      </c>
      <c r="B4938" s="1" t="s">
        <v>4880</v>
      </c>
      <c r="C4938" t="str">
        <f>IFERROR(__xludf.DUMMYFUNCTION("GOOGLETRANSLATE(B4938, ""fr"", ""en"")"),"Perfect ! We were looking for this article and many THIS article! We are delighted! The boxes are completely independent and the side opening allows to pour the powder into bottles without putting off! We recommend !")</f>
        <v>Perfect ! We were looking for this article and many THIS article! We are delighted! The boxes are completely independent and the side opening allows to pour the powder into bottles without putting off! We recommend !</v>
      </c>
    </row>
    <row r="4939">
      <c r="A4939" s="1">
        <v>5.0</v>
      </c>
      <c r="B4939" s="1" t="s">
        <v>4881</v>
      </c>
      <c r="C4939" t="str">
        <f>IFERROR(__xludf.DUMMYFUNCTION("GOOGLETRANSLATE(B4939, ""fr"", ""en"")"),"Good Garbage bags Handy Bag Bags Garbage popular recommend")</f>
        <v>Good Garbage bags Handy Bag Bags Garbage popular recommend</v>
      </c>
    </row>
    <row r="4940">
      <c r="A4940" s="1">
        <v>5.0</v>
      </c>
      <c r="B4940" s="1" t="s">
        <v>4882</v>
      </c>
      <c r="C4940" t="str">
        <f>IFERROR(__xludf.DUMMYFUNCTION("GOOGLETRANSLATE(B4940, ""fr"", ""en"")"),"well My son was used from the beginning to the teats and it suits him perfectly, the bottle-feeding transition was thus made without difficulty.")</f>
        <v>well My son was used from the beginning to the teats and it suits him perfectly, the bottle-feeding transition was thus made without difficulty.</v>
      </c>
    </row>
    <row r="4941">
      <c r="A4941" s="1">
        <v>5.0</v>
      </c>
      <c r="B4941" s="1" t="s">
        <v>4883</v>
      </c>
      <c r="C4941" t="str">
        <f>IFERROR(__xludf.DUMMYFUNCTION("GOOGLETRANSLATE(B4941, ""fr"", ""en"")"),"top ! nothing to say, top quality, good color, wingtips what! the best brand that exists in fluorescent !! I just love it")</f>
        <v>top ! nothing to say, top quality, good color, wingtips what! the best brand that exists in fluorescent !! I just love it</v>
      </c>
    </row>
    <row r="4942">
      <c r="A4942" s="1">
        <v>5.0</v>
      </c>
      <c r="B4942" s="1" t="s">
        <v>4884</v>
      </c>
      <c r="C4942" t="str">
        <f>IFERROR(__xludf.DUMMYFUNCTION("GOOGLETRANSLATE(B4942, ""fr"", ""en"")"),"The package is very beautiful fast. It is a very nice and convenient to use. I love it and I'll recacheter for my girlfriend.")</f>
        <v>The package is very beautiful fast. It is a very nice and convenient to use. I love it and I'll recacheter for my girlfriend.</v>
      </c>
    </row>
    <row r="4943">
      <c r="A4943" s="1">
        <v>5.0</v>
      </c>
      <c r="B4943" s="1" t="s">
        <v>4885</v>
      </c>
      <c r="C4943" t="str">
        <f>IFERROR(__xludf.DUMMYFUNCTION("GOOGLETRANSLATE(B4943, ""fr"", ""en"")"),"Expectations Met I received the masseur in good condition, and the delivery time was met. The masseur works as described. I have used for years a Hitachi Magic Wand Massager that must be plugged. I found the new masseur Paloqueth equally good for low vibr"&amp;"ation and better regarding the change of the modes. I find it great wireless.")</f>
        <v>Expectations Met I received the masseur in good condition, and the delivery time was met. The masseur works as described. I have used for years a Hitachi Magic Wand Massager that must be plugged. I found the new masseur Paloqueth equally good for low vibration and better regarding the change of the modes. I find it great wireless.</v>
      </c>
    </row>
    <row r="4944">
      <c r="A4944" s="1">
        <v>5.0</v>
      </c>
      <c r="B4944" s="1" t="s">
        <v>4886</v>
      </c>
      <c r="C4944" t="str">
        <f>IFERROR(__xludf.DUMMYFUNCTION("GOOGLETRANSLATE(B4944, ""fr"", ""en"")"),"excellent excellent explanations in English only damage tees good product luckily tutorial on internet")</f>
        <v>excellent excellent explanations in English only damage tees good product luckily tutorial on internet</v>
      </c>
    </row>
    <row r="4945">
      <c r="A4945" s="1">
        <v>5.0</v>
      </c>
      <c r="B4945" s="1" t="s">
        <v>4887</v>
      </c>
      <c r="C4945" t="str">
        <f>IFERROR(__xludf.DUMMYFUNCTION("GOOGLETRANSLATE(B4945, ""fr"", ""en"")"),"Although Impeccable to dry bottles. 4 Thanks Max")</f>
        <v>Although Impeccable to dry bottles. 4 Thanks Max</v>
      </c>
    </row>
    <row r="4946">
      <c r="A4946" s="1">
        <v>5.0</v>
      </c>
      <c r="B4946" s="1" t="s">
        <v>4888</v>
      </c>
      <c r="C4946" t="str">
        <f>IFERROR(__xludf.DUMMYFUNCTION("GOOGLETRANSLATE(B4946, ""fr"", ""en"")"),"Delighted size very well. Very pretty.")</f>
        <v>Delighted size very well. Very pretty.</v>
      </c>
    </row>
    <row r="4947">
      <c r="A4947" s="1">
        <v>5.0</v>
      </c>
      <c r="B4947" s="1" t="s">
        <v>4889</v>
      </c>
      <c r="C4947" t="str">
        <f>IFERROR(__xludf.DUMMYFUNCTION("GOOGLETRANSLATE(B4947, ""fr"", ""en"")"),"Beautiful great price quality ratio")</f>
        <v>Beautiful great price quality ratio</v>
      </c>
    </row>
    <row r="4948">
      <c r="A4948" s="1">
        <v>5.0</v>
      </c>
      <c r="B4948" s="1" t="s">
        <v>4890</v>
      </c>
      <c r="C4948" t="str">
        <f>IFERROR(__xludf.DUMMYFUNCTION("GOOGLETRANSLATE(B4948, ""fr"", ""en"")"),"short well-cut and comfortable. Short used to turn on a dance skirt. Very well cut and comfortable. Excellent value. I recommend this article.")</f>
        <v>short well-cut and comfortable. Short used to turn on a dance skirt. Very well cut and comfortable. Excellent value. I recommend this article.</v>
      </c>
    </row>
    <row r="4949">
      <c r="A4949" s="1">
        <v>2.0</v>
      </c>
      <c r="B4949" s="1" t="s">
        <v>4891</v>
      </c>
      <c r="C4949" t="str">
        <f>IFERROR(__xludf.DUMMYFUNCTION("GOOGLETRANSLATE(B4949, ""fr"", ""en"")"),"No marking I have not yet installed but I can say that the two strands in the copy received, are identical, unmarked to distinguish, unlike the description. This is not very serious but it is not serious.")</f>
        <v>No marking I have not yet installed but I can say that the two strands in the copy received, are identical, unmarked to distinguish, unlike the description. This is not very serious but it is not serious.</v>
      </c>
    </row>
    <row r="4950">
      <c r="A4950" s="1">
        <v>1.0</v>
      </c>
      <c r="B4950" s="1" t="s">
        <v>4892</v>
      </c>
      <c r="C4950" t="str">
        <f>IFERROR(__xludf.DUMMYFUNCTION("GOOGLETRANSLATE(B4950, ""fr"", ""en"")"),"too bcp Size Hello Bought for my daughter who puts 35 bcp and are too big for her I could put while I make 39 .... very disappointed that this wrong size while the quality is you")</f>
        <v>too bcp Size Hello Bought for my daughter who puts 35 bcp and are too big for her I could put while I make 39 .... very disappointed that this wrong size while the quality is you</v>
      </c>
    </row>
    <row r="4951">
      <c r="A4951" s="1">
        <v>1.0</v>
      </c>
      <c r="B4951" s="1" t="s">
        <v>4893</v>
      </c>
      <c r="C4951" t="str">
        <f>IFERROR(__xludf.DUMMYFUNCTION("GOOGLETRANSLATE(B4951, ""fr"", ""en"")"),"Ring Big Scam Any color on one side is gone, while supposedly this is money I regret this purchase and would like a refund Received this morning")</f>
        <v>Ring Big Scam Any color on one side is gone, while supposedly this is money I regret this purchase and would like a refund Received this morning</v>
      </c>
    </row>
    <row r="4952">
      <c r="A4952" s="1">
        <v>3.0</v>
      </c>
      <c r="B4952" s="1" t="s">
        <v>4894</v>
      </c>
      <c r="C4952" t="str">
        <f>IFERROR(__xludf.DUMMYFUNCTION("GOOGLETRANSLATE(B4952, ""fr"", ""en"")"),"Blah blah Pretty shoe design super, super fast delivery. The worry is about the size the shoe size are small eg 43 = 42 home. The finish're not at the rendezvous hull was apparent in the shoe, which unfortunately fesais to bleed even with large sock. Chec"&amp;"ks From well inside the shoe if there is indeed a protection after, a colleague of the same and that's niquel for him, not me u luck here.")</f>
        <v>Blah blah Pretty shoe design super, super fast delivery. The worry is about the size the shoe size are small eg 43 = 42 home. The finish're not at the rendezvous hull was apparent in the shoe, which unfortunately fesais to bleed even with large sock. Checks From well inside the shoe if there is indeed a protection after, a colleague of the same and that's niquel for him, not me u luck here.</v>
      </c>
    </row>
    <row r="4953">
      <c r="A4953" s="1">
        <v>3.0</v>
      </c>
      <c r="B4953" s="1" t="s">
        <v>4895</v>
      </c>
      <c r="C4953" t="str">
        <f>IFERROR(__xludf.DUMMYFUNCTION("GOOGLETRANSLATE(B4953, ""fr"", ""en"")"),"beautiful leather bags Beautiful and practical bag. I was expecting a poor imitation leather but the result is pretty good. I do not find particularly attractive by the logo against but the pockets are well designed and zippers appear solid. I like the wa"&amp;"y he carries slung and the main pocket that closes with a magnet. Edit: I wear it for a few days but already showing signs of wear. Either the leather was not adequately treated or it is too thin and thus cheap.")</f>
        <v>beautiful leather bags Beautiful and practical bag. I was expecting a poor imitation leather but the result is pretty good. I do not find particularly attractive by the logo against but the pockets are well designed and zippers appear solid. I like the way he carries slung and the main pocket that closes with a magnet. Edit: I wear it for a few days but already showing signs of wear. Either the leather was not adequately treated or it is too thin and thus cheap.</v>
      </c>
    </row>
    <row r="4954">
      <c r="A4954" s="1">
        <v>4.0</v>
      </c>
      <c r="B4954" s="1" t="s">
        <v>4896</v>
      </c>
      <c r="C4954" t="str">
        <f>IFERROR(__xludf.DUMMYFUNCTION("GOOGLETRANSLATE(B4954, ""fr"", ""en"")"),"Very good bottle warmer Very fast and very easy to use. One button for on / off, the dosing for the amount of water and it can be used at home and in the car. It heats up quickly. I recommand it !")</f>
        <v>Very good bottle warmer Very fast and very easy to use. One button for on / off, the dosing for the amount of water and it can be used at home and in the car. It heats up quickly. I recommand it !</v>
      </c>
    </row>
    <row r="4955">
      <c r="A4955" s="1">
        <v>4.0</v>
      </c>
      <c r="B4955" s="1" t="s">
        <v>4897</v>
      </c>
      <c r="C4955" t="str">
        <f>IFERROR(__xludf.DUMMYFUNCTION("GOOGLETRANSLATE(B4955, ""fr"", ""en"")"),"Delivery sooner than expected Very hot but I recommend two sizes provide a more")</f>
        <v>Delivery sooner than expected Very hot but I recommend two sizes provide a more</v>
      </c>
    </row>
    <row r="4956">
      <c r="A4956" s="1">
        <v>4.0</v>
      </c>
      <c r="B4956" s="1" t="s">
        <v>4898</v>
      </c>
      <c r="C4956" t="str">
        <f>IFERROR(__xludf.DUMMYFUNCTION("GOOGLETRANSLATE(B4956, ""fr"", ""en"")"),"Size small The shoe is very comfortable but unfortunately too small. Take a size bigger")</f>
        <v>Size small The shoe is very comfortable but unfortunately too small. Take a size bigger</v>
      </c>
    </row>
    <row r="4957">
      <c r="A4957" s="1">
        <v>4.0</v>
      </c>
      <c r="B4957" s="1" t="s">
        <v>4899</v>
      </c>
      <c r="C4957" t="str">
        <f>IFERROR(__xludf.DUMMYFUNCTION("GOOGLETRANSLATE(B4957, ""fr"", ""en"")"),"Super nickel product for a gift to my wife")</f>
        <v>Super nickel product for a gift to my wife</v>
      </c>
    </row>
    <row r="4958">
      <c r="A4958" s="1">
        <v>5.0</v>
      </c>
      <c r="B4958" s="1" t="s">
        <v>4900</v>
      </c>
      <c r="C4958" t="str">
        <f>IFERROR(__xludf.DUMMYFUNCTION("GOOGLETRANSLATE(B4958, ""fr"", ""en"")"),"Kettle tendency This product corresponds exactly to my request")</f>
        <v>Kettle tendency This product corresponds exactly to my request</v>
      </c>
    </row>
    <row r="4959">
      <c r="A4959" s="1">
        <v>5.0</v>
      </c>
      <c r="B4959" s="1" t="s">
        <v>4901</v>
      </c>
      <c r="C4959" t="str">
        <f>IFERROR(__xludf.DUMMYFUNCTION("GOOGLETRANSLATE(B4959, ""fr"", ""en"")"),"Okay I advise Beautiful I had already ordered but not the same but very beautiful and there are plastic wire if in case it breaks I recommend")</f>
        <v>Okay I advise Beautiful I had already ordered but not the same but very beautiful and there are plastic wire if in case it breaks I recommend</v>
      </c>
    </row>
    <row r="4960">
      <c r="A4960" s="1">
        <v>5.0</v>
      </c>
      <c r="B4960" s="1" t="s">
        <v>4902</v>
      </c>
      <c r="C4960" t="str">
        <f>IFERROR(__xludf.DUMMYFUNCTION("GOOGLETRANSLATE(B4960, ""fr"", ""en"")"),"Supports super Very happy with this product! Maintains good chest and easy to put on")</f>
        <v>Supports super Very happy with this product! Maintains good chest and easy to put on</v>
      </c>
    </row>
    <row r="4961">
      <c r="A4961" s="1">
        <v>5.0</v>
      </c>
      <c r="B4961" s="1" t="s">
        <v>4903</v>
      </c>
      <c r="C4961" t="str">
        <f>IFERROR(__xludf.DUMMYFUNCTION("GOOGLETRANSLATE(B4961, ""fr"", ""en"")"),"Nice, comfortable and adjustable article, good sound I ordered this headset for 7 years of my daughter, the great have been, in black and orange versions. The sound quality is very good, comfortable helmet. And very convenient to use Bluetooth or wired de"&amp;"pending on the device they use. The hard case is very convenient to carry an mp3 player and more for example. beautiful presentation")</f>
        <v>Nice, comfortable and adjustable article, good sound I ordered this headset for 7 years of my daughter, the great have been, in black and orange versions. The sound quality is very good, comfortable helmet. And very convenient to use Bluetooth or wired depending on the device they use. The hard case is very convenient to carry an mp3 player and more for example. beautiful presentation</v>
      </c>
    </row>
    <row r="4962">
      <c r="A4962" s="1">
        <v>5.0</v>
      </c>
      <c r="B4962" s="1" t="s">
        <v>4904</v>
      </c>
      <c r="C4962" t="str">
        <f>IFERROR(__xludf.DUMMYFUNCTION("GOOGLETRANSLATE(B4962, ""fr"", ""en"")"),"A big thank you thank you .... Nothing to say my girlfriend is very happy for his request ..I recommend super comfortable")</f>
        <v>A big thank you thank you .... Nothing to say my girlfriend is very happy for his request ..I recommend super comfortable</v>
      </c>
    </row>
    <row r="4963">
      <c r="A4963" s="1">
        <v>5.0</v>
      </c>
      <c r="B4963" s="1" t="s">
        <v>4905</v>
      </c>
      <c r="C4963" t="str">
        <f>IFERROR(__xludf.DUMMYFUNCTION("GOOGLETRANSLATE(B4963, ""fr"", ""en"")"),"Perfect and convenient tripod for my microphone Bird, good stability, good quality. Very happy with this purchase, very good value for money.")</f>
        <v>Perfect and convenient tripod for my microphone Bird, good stability, good quality. Very happy with this purchase, very good value for money.</v>
      </c>
    </row>
    <row r="4964">
      <c r="A4964" s="1">
        <v>5.0</v>
      </c>
      <c r="B4964" s="1" t="s">
        <v>4906</v>
      </c>
      <c r="C4964" t="str">
        <f>IFERROR(__xludf.DUMMYFUNCTION("GOOGLETRANSLATE(B4964, ""fr"", ""en"")"),"as expected I am very satisfied with this product, very beautiful model and size is as expected I recommend to all")</f>
        <v>as expected I am very satisfied with this product, very beautiful model and size is as expected I recommend to all</v>
      </c>
    </row>
    <row r="4965">
      <c r="A4965" s="1">
        <v>5.0</v>
      </c>
      <c r="B4965" s="1" t="s">
        <v>4907</v>
      </c>
      <c r="C4965" t="str">
        <f>IFERROR(__xludf.DUMMYFUNCTION("GOOGLETRANSLATE(B4965, ""fr"", ""en"")"),"Consistent with the description Perfect happy with my purchase")</f>
        <v>Consistent with the description Perfect happy with my purchase</v>
      </c>
    </row>
    <row r="4966">
      <c r="A4966" s="1">
        <v>5.0</v>
      </c>
      <c r="B4966" s="1" t="s">
        <v>4908</v>
      </c>
      <c r="C4966" t="str">
        <f>IFERROR(__xludf.DUMMYFUNCTION("GOOGLETRANSLATE(B4966, ""fr"", ""en"")"),"Casio Met my expectations")</f>
        <v>Casio Met my expectations</v>
      </c>
    </row>
    <row r="4967">
      <c r="A4967" s="1">
        <v>5.0</v>
      </c>
      <c r="B4967" s="1" t="s">
        <v>4909</v>
      </c>
      <c r="C4967" t="str">
        <f>IFERROR(__xludf.DUMMYFUNCTION("GOOGLETRANSLATE(B4967, ""fr"", ""en"")"),"Super vest Article is consistent with the picture, the color is nice and warm jacket, my husband always on the back !!")</f>
        <v>Super vest Article is consistent with the picture, the color is nice and warm jacket, my husband always on the back !!</v>
      </c>
    </row>
    <row r="4968">
      <c r="A4968" s="1">
        <v>5.0</v>
      </c>
      <c r="B4968" s="1" t="s">
        <v>4910</v>
      </c>
      <c r="C4968" t="str">
        <f>IFERROR(__xludf.DUMMYFUNCTION("GOOGLETRANSLATE(B4968, ""fr"", ""en"")"),"Dry bottle perfect! Excellent value. Dry bottle completely fulfills its function. The seller is very professional and kind.")</f>
        <v>Dry bottle perfect! Excellent value. Dry bottle completely fulfills its function. The seller is very professional and kind.</v>
      </c>
    </row>
    <row r="4969">
      <c r="A4969" s="1">
        <v>5.0</v>
      </c>
      <c r="B4969" s="1" t="s">
        <v>4911</v>
      </c>
      <c r="C4969" t="str">
        <f>IFERROR(__xludf.DUMMYFUNCTION("GOOGLETRANSLATE(B4969, ""fr"", ""en"")"),"Perfect but beware the perfect size but attention to the size, more accustomed to xl, I took the L here on the advice of other reviews and it's perfect")</f>
        <v>Perfect but beware the perfect size but attention to the size, more accustomed to xl, I took the L here on the advice of other reviews and it's perfect</v>
      </c>
    </row>
    <row r="4970">
      <c r="A4970" s="1">
        <v>5.0</v>
      </c>
      <c r="B4970" s="1" t="s">
        <v>4912</v>
      </c>
      <c r="C4970" t="str">
        <f>IFERROR(__xludf.DUMMYFUNCTION("GOOGLETRANSLATE(B4970, ""fr"", ""en"")"),"Not bad thank you! Happy enough")</f>
        <v>Not bad thank you! Happy enough</v>
      </c>
    </row>
    <row r="4971">
      <c r="A4971" s="1">
        <v>5.0</v>
      </c>
      <c r="B4971" s="1" t="s">
        <v>4913</v>
      </c>
      <c r="C4971" t="str">
        <f>IFERROR(__xludf.DUMMYFUNCTION("GOOGLETRANSLATE(B4971, ""fr"", ""en"")"),"Perfect This is the fifth pair in this model. The size is perfect and the model always shoes as well.")</f>
        <v>Perfect This is the fifth pair in this model. The size is perfect and the model always shoes as well.</v>
      </c>
    </row>
    <row r="4972">
      <c r="A4972" s="1">
        <v>5.0</v>
      </c>
      <c r="B4972" s="1" t="s">
        <v>4914</v>
      </c>
      <c r="C4972" t="str">
        <f>IFERROR(__xludf.DUMMYFUNCTION("GOOGLETRANSLATE(B4972, ""fr"", ""en"")"),"glamorise the perfect bras are a reliable brand; I buy them for my mom and she's extremely happy every time; maintenance and quality present. Too bad they are too expensive")</f>
        <v>glamorise the perfect bras are a reliable brand; I buy them for my mom and she's extremely happy every time; maintenance and quality present. Too bad they are too expensive</v>
      </c>
    </row>
    <row r="4973">
      <c r="A4973" s="1">
        <v>2.0</v>
      </c>
      <c r="B4973" s="1" t="s">
        <v>4915</v>
      </c>
      <c r="C4973" t="str">
        <f>IFERROR(__xludf.DUMMYFUNCTION("GOOGLETRANSLATE(B4973, ""fr"", ""en"")"),"Pruned too small! Size very very small. Yet accustomed to kickers, I took 35 my daughter wearing shoes size 34. The soles do not even fit in the shoe. Purchased 36 is STILL too small ... They carve at least 1 1/2 size too small. Purchased new in 37 (or 2 "&amp;"sizes above) in the hope that this time it suits !!!")</f>
        <v>Pruned too small! Size very very small. Yet accustomed to kickers, I took 35 my daughter wearing shoes size 34. The soles do not even fit in the shoe. Purchased 36 is STILL too small ... They carve at least 1 1/2 size too small. Purchased new in 37 (or 2 sizes above) in the hope that this time it suits !!!</v>
      </c>
    </row>
    <row r="4974">
      <c r="A4974" s="1">
        <v>1.0</v>
      </c>
      <c r="B4974" s="1" t="s">
        <v>4916</v>
      </c>
      <c r="C4974" t="str">
        <f>IFERROR(__xludf.DUMMYFUNCTION("GOOGLETRANSLATE(B4974, ""fr"", ""en"")"),"Tough Too small even taking one size bigger. I would contact the seller to make an exchange but could not find how to 😕")</f>
        <v>Tough Too small even taking one size bigger. I would contact the seller to make an exchange but could not find how to 😕</v>
      </c>
    </row>
    <row r="4975">
      <c r="A4975" s="1">
        <v>1.0</v>
      </c>
      <c r="B4975" s="1" t="s">
        <v>4917</v>
      </c>
      <c r="C4975" t="str">
        <f>IFERROR(__xludf.DUMMYFUNCTION("GOOGLETRANSLATE(B4975, ""fr"", ""en"")"),"It did not work very long This diffuser is truly lovely light level nothing to say the effect is really great but then it stops working after a few months I'm pretty disappointed it is not strong enough shame because j 'loved")</f>
        <v>It did not work very long This diffuser is truly lovely light level nothing to say the effect is really great but then it stops working after a few months I'm pretty disappointed it is not strong enough shame because j 'loved</v>
      </c>
    </row>
    <row r="4976">
      <c r="A4976" s="1">
        <v>3.0</v>
      </c>
      <c r="B4976" s="1" t="s">
        <v>4918</v>
      </c>
      <c r="C4976" t="str">
        <f>IFERROR(__xludf.DUMMYFUNCTION("GOOGLETRANSLATE(B4976, ""fr"", ""en"")"),"No soles This is not the first time I buy Bensimon, by against this is the first time that there is no soles? Is this normal?")</f>
        <v>No soles This is not the first time I buy Bensimon, by against this is the first time that there is no soles? Is this normal?</v>
      </c>
    </row>
    <row r="4977">
      <c r="A4977" s="1">
        <v>4.0</v>
      </c>
      <c r="B4977" s="1" t="s">
        <v>4919</v>
      </c>
      <c r="C4977" t="str">
        <f>IFERROR(__xludf.DUMMYFUNCTION("GOOGLETRANSLATE(B4977, ""fr"", ""en"")"),"Good they arrived in due time pretty comfortable e is well inside I have removed one star because for me the Hansse to hold the foot or there is a sign puma and a little too tight yet jn not have a strong foot apartment but all his I recommend")</f>
        <v>Good they arrived in due time pretty comfortable e is well inside I have removed one star because for me the Hansse to hold the foot or there is a sign puma and a little too tight yet jn not have a strong foot apartment but all his I recommend</v>
      </c>
    </row>
    <row r="4978">
      <c r="A4978" s="1">
        <v>4.0</v>
      </c>
      <c r="B4978" s="1" t="s">
        <v>4920</v>
      </c>
      <c r="C4978" t="str">
        <f>IFERROR(__xludf.DUMMYFUNCTION("GOOGLETRANSLATE(B4978, ""fr"", ""en"")"),"See time I quickly tested the kettle especially to make sure it works well so I can not put 5 stars for now. I simply removed one star because I still doubt the promise about 6 hours keep warm. However, to have bought a professional kitchen knife of the s"&amp;"ame brand for my mother (who is satisfied) I know Aicok make good products at reasonable prices. I also love the kettle and thermos system simultaneously! 👌 he was thinking ☝️")</f>
        <v>See time I quickly tested the kettle especially to make sure it works well so I can not put 5 stars for now. I simply removed one star because I still doubt the promise about 6 hours keep warm. However, to have bought a professional kitchen knife of the same brand for my mother (who is satisfied) I know Aicok make good products at reasonable prices. I also love the kettle and thermos system simultaneously! 👌 he was thinking ☝️</v>
      </c>
    </row>
    <row r="4979">
      <c r="A4979" s="1">
        <v>4.0</v>
      </c>
      <c r="B4979" s="1" t="s">
        <v>4921</v>
      </c>
      <c r="C4979" t="str">
        <f>IFERROR(__xludf.DUMMYFUNCTION("GOOGLETRANSLATE(B4979, ""fr"", ""en"")"),"Beautiful but disappointed by the beautiful color but the color is very ""fake""")</f>
        <v>Beautiful but disappointed by the beautiful color but the color is very "fake"</v>
      </c>
    </row>
    <row r="4980">
      <c r="A4980" s="1">
        <v>4.0</v>
      </c>
      <c r="B4980" s="1" t="s">
        <v>4922</v>
      </c>
      <c r="C4980" t="str">
        <f>IFERROR(__xludf.DUMMYFUNCTION("GOOGLETRANSLATE(B4980, ""fr"", ""en"")"),"Put the water in the tank is not practical. The pouring of water in the reservoir is difficult opening is narrow.")</f>
        <v>Put the water in the tank is not practical. The pouring of water in the reservoir is difficult opening is narrow.</v>
      </c>
    </row>
    <row r="4981">
      <c r="A4981" s="1">
        <v>5.0</v>
      </c>
      <c r="B4981" s="1" t="s">
        <v>4923</v>
      </c>
      <c r="C4981" t="str">
        <f>IFERROR(__xludf.DUMMYFUNCTION("GOOGLETRANSLATE(B4981, ""fr"", ""en"")"),"Perfect ! Here is a product that has more to prove ... Always as effective, it avoids surprises ... Use following detergents that we have to do.")</f>
        <v>Perfect ! Here is a product that has more to prove ... Always as effective, it avoids surprises ... Use following detergents that we have to do.</v>
      </c>
    </row>
    <row r="4982">
      <c r="A4982" s="1">
        <v>5.0</v>
      </c>
      <c r="B4982" s="1" t="s">
        <v>4924</v>
      </c>
      <c r="C4982" t="str">
        <f>IFERROR(__xludf.DUMMYFUNCTION("GOOGLETRANSLATE(B4982, ""fr"", ""en"")"),"Remains to try thank you Parcel received no say delivery to top")</f>
        <v>Remains to try thank you Parcel received no say delivery to top</v>
      </c>
    </row>
    <row r="4983">
      <c r="A4983" s="1">
        <v>5.0</v>
      </c>
      <c r="B4983" s="1" t="s">
        <v>4925</v>
      </c>
      <c r="C4983" t="str">
        <f>IFERROR(__xludf.DUMMYFUNCTION("GOOGLETRANSLATE(B4983, ""fr"", ""en"")"),"Watch the top The watch itself is gorgeous, my be a good weight and the face is so clear. My son had some difficulties with the closure at first, what I also found it difficult, but after a few tries, he can do it easily now. He loves it and it looks like"&amp;" an expensive watch has succeeded.")</f>
        <v>Watch the top The watch itself is gorgeous, my be a good weight and the face is so clear. My son had some difficulties with the closure at first, what I also found it difficult, but after a few tries, he can do it easily now. He loves it and it looks like an expensive watch has succeeded.</v>
      </c>
    </row>
    <row r="4984">
      <c r="A4984" s="1">
        <v>5.0</v>
      </c>
      <c r="B4984" s="1" t="s">
        <v>4926</v>
      </c>
      <c r="C4984" t="str">
        <f>IFERROR(__xludf.DUMMYFUNCTION("GOOGLETRANSLATE(B4984, ""fr"", ""en"")"),"pretty robust kit perfect to go with the backpack :) assorted kit is a good size, the zipper and the fabric seem strong, the gift recipient is thrilled :)")</f>
        <v>pretty robust kit perfect to go with the backpack :) assorted kit is a good size, the zipper and the fabric seem strong, the gift recipient is thrilled :)</v>
      </c>
    </row>
    <row r="4985">
      <c r="A4985" s="1">
        <v>5.0</v>
      </c>
      <c r="B4985" s="1" t="s">
        <v>4927</v>
      </c>
      <c r="C4985" t="str">
        <f>IFERROR(__xludf.DUMMYFUNCTION("GOOGLETRANSLATE(B4985, ""fr"", ""en"")"),"Good paint bebz paint that cleans very well with a cloth and eau.aucun problem to clean surfaces. For fabrics, you have to go to the washing machine because only goes not only to water. The colors are beautiful. No problem.")</f>
        <v>Good paint bebz paint that cleans very well with a cloth and eau.aucun problem to clean surfaces. For fabrics, you have to go to the washing machine because only goes not only to water. The colors are beautiful. No problem.</v>
      </c>
    </row>
    <row r="4986">
      <c r="A4986" s="1">
        <v>5.0</v>
      </c>
      <c r="B4986" s="1" t="s">
        <v>4928</v>
      </c>
      <c r="C4986" t="str">
        <f>IFERROR(__xludf.DUMMYFUNCTION("GOOGLETRANSLATE(B4986, ""fr"", ""en"")"),"Perfect Lingerie very satisfied, thank you Amazon")</f>
        <v>Perfect Lingerie very satisfied, thank you Amazon</v>
      </c>
    </row>
    <row r="4987">
      <c r="A4987" s="1">
        <v>5.0</v>
      </c>
      <c r="B4987" s="1" t="s">
        <v>4929</v>
      </c>
      <c r="C4987" t="str">
        <f>IFERROR(__xludf.DUMMYFUNCTION("GOOGLETRANSLATE(B4987, ""fr"", ""en"")"),"comfortable shoes are super is super comfortable and good quality. The soles are really slip size listed is in my foot. I recommend these shoes for anyone wanting a warm winter !!!")</f>
        <v>comfortable shoes are super is super comfortable and good quality. The soles are really slip size listed is in my foot. I recommend these shoes for anyone wanting a warm winter !!!</v>
      </c>
    </row>
    <row r="4988">
      <c r="A4988" s="1">
        <v>5.0</v>
      </c>
      <c r="B4988" s="1" t="s">
        <v>4930</v>
      </c>
      <c r="C4988" t="str">
        <f>IFERROR(__xludf.DUMMYFUNCTION("GOOGLETRANSLATE(B4988, ""fr"", ""en"")"),"Very nice small fine jewelry well drawn is doing very well with all the style, chain and thicker than I thought very well and the clasp looks durable. beautiful setting")</f>
        <v>Very nice small fine jewelry well drawn is doing very well with all the style, chain and thicker than I thought very well and the clasp looks durable. beautiful setting</v>
      </c>
    </row>
    <row r="4989">
      <c r="A4989" s="1">
        <v>5.0</v>
      </c>
      <c r="B4989" s="1" t="s">
        <v>4931</v>
      </c>
      <c r="C4989" t="str">
        <f>IFERROR(__xludf.DUMMYFUNCTION("GOOGLETRANSLATE(B4989, ""fr"", ""en"")"),"very well never disappointed by Advent")</f>
        <v>very well never disappointed by Advent</v>
      </c>
    </row>
    <row r="4990">
      <c r="A4990" s="1">
        <v>5.0</v>
      </c>
      <c r="B4990" s="1" t="s">
        <v>4932</v>
      </c>
      <c r="C4990" t="str">
        <f>IFERROR(__xludf.DUMMYFUNCTION("GOOGLETRANSLATE(B4990, ""fr"", ""en"")"),"trash bag corret Bags Lot of trash a worthwhile purchase to preserve the cleanliness of home. A lot of bags have at home")</f>
        <v>trash bag corret Bags Lot of trash a worthwhile purchase to preserve the cleanliness of home. A lot of bags have at home</v>
      </c>
    </row>
    <row r="4991">
      <c r="A4991" s="1">
        <v>5.0</v>
      </c>
      <c r="B4991" s="1" t="s">
        <v>4933</v>
      </c>
      <c r="C4991" t="str">
        <f>IFERROR(__xludf.DUMMYFUNCTION("GOOGLETRANSLATE(B4991, ""fr"", ""en"")"),"Minerva OTAN46 Trace symbol tactic 😁")</f>
        <v>Minerva OTAN46 Trace symbol tactic 😁</v>
      </c>
    </row>
    <row r="4992">
      <c r="A4992" s="1">
        <v>5.0</v>
      </c>
      <c r="B4992" s="1" t="s">
        <v>4934</v>
      </c>
      <c r="C4992" t="str">
        <f>IFERROR(__xludf.DUMMYFUNCTION("GOOGLETRANSLATE(B4992, ""fr"", ""en"")"),"Perfect Excellent leather man bag. Very nice product, nice finish and very practical thanks to the different pockets. A buy without hesitation.")</f>
        <v>Perfect Excellent leather man bag. Very nice product, nice finish and very practical thanks to the different pockets. A buy without hesitation.</v>
      </c>
    </row>
    <row r="4993">
      <c r="A4993" s="1">
        <v>5.0</v>
      </c>
      <c r="B4993" s="1" t="s">
        <v>4935</v>
      </c>
      <c r="C4993" t="str">
        <f>IFERROR(__xludf.DUMMYFUNCTION("GOOGLETRANSLATE(B4993, ""fr"", ""en"")"),"You forget to wear shoes secu I put every day, really the top for awesome work")</f>
        <v>You forget to wear shoes secu I put every day, really the top for awesome work</v>
      </c>
    </row>
    <row r="4994">
      <c r="A4994" s="1">
        <v>5.0</v>
      </c>
      <c r="B4994" s="1" t="s">
        <v>4936</v>
      </c>
      <c r="C4994" t="str">
        <f>IFERROR(__xludf.DUMMYFUNCTION("GOOGLETRANSLATE(B4994, ""fr"", ""en"")"),"Perfect ! Really great! Good quality, consistent with the description, I am satisfied.")</f>
        <v>Perfect ! Really great! Good quality, consistent with the description, I am satisfied.</v>
      </c>
    </row>
    <row r="4995">
      <c r="A4995" s="1">
        <v>5.0</v>
      </c>
      <c r="B4995" s="1" t="s">
        <v>4937</v>
      </c>
      <c r="C4995" t="str">
        <f>IFERROR(__xludf.DUMMYFUNCTION("GOOGLETRANSLATE(B4995, ""fr"", ""en"")"),"Superb top sneaker size matter ditto beautiful pair of basketball")</f>
        <v>Superb top sneaker size matter ditto beautiful pair of basketball</v>
      </c>
    </row>
    <row r="4996">
      <c r="A4996" s="1">
        <v>2.0</v>
      </c>
      <c r="B4996" s="1" t="s">
        <v>4938</v>
      </c>
      <c r="C4996" t="str">
        <f>IFERROR(__xludf.DUMMYFUNCTION("GOOGLETRANSLATE(B4996, ""fr"", ""en"")"),"Where are the nimbus? I put nimbus since they exist and I run 60 km / week. Until the 18, all was well. Their design has been completely revised to 19: disaster. The 20, a bit better; on the 21, I did not have the feeling of wearing nimbus. Certainly, the"&amp;" sole is thicker but it is also more ""stiff"" and the footwear really narrow. Shoe They also smaller than previous (I play 39 and I'm at the end of 40, soon I will take them 42!) .And so they do not weigh heavier than before, despite the increase the thi"&amp;"ckness of the sole, they were stripped of much of the foam around the foot made them so comfortable. In short, disappointed, disappointed, disappointed!")</f>
        <v>Where are the nimbus? I put nimbus since they exist and I run 60 km / week. Until the 18, all was well. Their design has been completely revised to 19: disaster. The 20, a bit better; on the 21, I did not have the feeling of wearing nimbus. Certainly, the sole is thicker but it is also more "stiff" and the footwear really narrow. Shoe They also smaller than previous (I play 39 and I'm at the end of 40, soon I will take them 42!) .And so they do not weigh heavier than before, despite the increase the thickness of the sole, they were stripped of much of the foam around the foot made them so comfortable. In short, disappointed, disappointed, disappointed!</v>
      </c>
    </row>
    <row r="4997">
      <c r="A4997" s="1">
        <v>1.0</v>
      </c>
      <c r="B4997" s="1" t="s">
        <v>4939</v>
      </c>
      <c r="C4997" t="str">
        <f>IFERROR(__xludf.DUMMYFUNCTION("GOOGLETRANSLATE(B4997, ""fr"", ""en"")"),"Lost my order. I received the amazon empty cardboard. No in bracelets.")</f>
        <v>Lost my order. I received the amazon empty cardboard. No in bracelets.</v>
      </c>
    </row>
    <row r="4998">
      <c r="A4998" s="1">
        <v>3.0</v>
      </c>
      <c r="B4998" s="1" t="s">
        <v>4940</v>
      </c>
      <c r="C4998" t="str">
        <f>IFERROR(__xludf.DUMMYFUNCTION("GOOGLETRANSLATE(B4998, ""fr"", ""en"")"),"Cartridges HP 302 black and CMY Pack HP original cartridges that work very well with my printer. Delivery and packaging are impeccable as usual. The downside big for me is that I feel that the cartridges are half filled. The cartridges do not last in time"&amp;" concluded. It's a shame to have the sensation to make a deal without it in an ...")</f>
        <v>Cartridges HP 302 black and CMY Pack HP original cartridges that work very well with my printer. Delivery and packaging are impeccable as usual. The downside big for me is that I feel that the cartridges are half filled. The cartridges do not last in time concluded. It's a shame to have the sensation to make a deal without it in an ...</v>
      </c>
    </row>
    <row r="4999">
      <c r="A4999" s="1">
        <v>3.0</v>
      </c>
      <c r="B4999" s="1" t="s">
        <v>4941</v>
      </c>
      <c r="C4999" t="str">
        <f>IFERROR(__xludf.DUMMYFUNCTION("GOOGLETRANSLATE(B4999, ""fr"", ""en"")"),"Chausson Chausson pleasant gymnastics gym to wear but not very resistant")</f>
        <v>Chausson Chausson pleasant gymnastics gym to wear but not very resistant</v>
      </c>
    </row>
    <row r="5000">
      <c r="A5000" s="1">
        <v>4.0</v>
      </c>
      <c r="B5000" s="1" t="s">
        <v>4942</v>
      </c>
      <c r="C5000" t="str">
        <f>IFERROR(__xludf.DUMMYFUNCTION("GOOGLETRANSLATE(B5000, ""fr"", ""en"")"),"Shelf for any use product purchased in flash sales, and I recommend. By cons to consider that I find a little folding problématique- press hard enough and bend at the same time can be difficult, I use wooden chopsticks to spare my nails. But if not ideal "&amp;"for all positions, by cons attention to the loss of balance. And plateau impractical mouse")</f>
        <v>Shelf for any use product purchased in flash sales, and I recommend. By cons to consider that I find a little folding problématique- press hard enough and bend at the same time can be difficult, I use wooden chopsticks to spare my nails. But if not ideal for all positions, by cons attention to the loss of balance. And plateau impractical mouse</v>
      </c>
    </row>
    <row r="5001">
      <c r="A5001" s="1">
        <v>4.0</v>
      </c>
      <c r="B5001" s="1" t="s">
        <v>4943</v>
      </c>
      <c r="C5001" t="str">
        <f>IFERROR(__xludf.DUMMYFUNCTION("GOOGLETRANSLATE(B5001, ""fr"", ""en"")"),"A true show offroad A watch that fears neither water nor shocks. With its white needles, time is easy to read even in poor lighting conditions (a button backlight is scheduled the same total black). I love her look! Only flat, multi-lingual instructions: "&amp;"arm yourself a good pair of glasses (lower case) and a lot of patience to incorporate all the features! For my part, I stopped to set the time, it'll be like that.")</f>
        <v>A true show offroad A watch that fears neither water nor shocks. With its white needles, time is easy to read even in poor lighting conditions (a button backlight is scheduled the same total black). I love her look! Only flat, multi-lingual instructions: arm yourself a good pair of glasses (lower case) and a lot of patience to incorporate all the features! For my part, I stopped to set the time, it'll be like that.</v>
      </c>
    </row>
  </sheetData>
  <drawing r:id="rId1"/>
</worksheet>
</file>