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00003237\Desktop\"/>
    </mc:Choice>
  </mc:AlternateContent>
  <xr:revisionPtr revIDLastSave="0" documentId="13_ncr:1_{10D65AE8-C0BA-4026-8EBA-94F622BF552A}" xr6:coauthVersionLast="47" xr6:coauthVersionMax="47" xr10:uidLastSave="{00000000-0000-0000-0000-000000000000}"/>
  <bookViews>
    <workbookView xWindow="-120" yWindow="-120" windowWidth="29040" windowHeight="14610"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7" i="2" l="1"/>
  <c r="O24" i="2"/>
  <c r="O23" i="2"/>
  <c r="O22" i="2"/>
  <c r="O51" i="2"/>
  <c r="N42" i="2"/>
  <c r="O36" i="2"/>
  <c r="B33" i="4"/>
  <c r="E24" i="2" l="1"/>
  <c r="F24" i="2" s="1"/>
  <c r="D24" i="2"/>
  <c r="H24" i="2" s="1"/>
  <c r="C24" i="2"/>
  <c r="E23" i="2"/>
  <c r="F23" i="2" s="1"/>
  <c r="D23" i="2"/>
  <c r="H23" i="2" s="1"/>
  <c r="C23" i="2"/>
  <c r="G23" i="4"/>
  <c r="F23" i="4" s="1"/>
  <c r="G22" i="4"/>
  <c r="F22" i="4" s="1"/>
  <c r="Q6" i="4"/>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F29" i="2"/>
  <c r="E29" i="2"/>
  <c r="D29" i="2"/>
  <c r="H29" i="2" s="1"/>
  <c r="C29" i="2"/>
  <c r="F28" i="2"/>
  <c r="E28" i="2"/>
  <c r="D28" i="2"/>
  <c r="H28" i="2" s="1"/>
  <c r="C28" i="2"/>
  <c r="F27" i="2"/>
  <c r="E27" i="2"/>
  <c r="D27" i="2"/>
  <c r="H27" i="2" s="1"/>
  <c r="C27" i="2"/>
  <c r="E26" i="2"/>
  <c r="F26" i="2" s="1"/>
  <c r="D26" i="2"/>
  <c r="H26" i="2" s="1"/>
  <c r="C26" i="2"/>
  <c r="E25" i="2"/>
  <c r="F25" i="2" s="1"/>
  <c r="D25" i="2"/>
  <c r="H25" i="2" s="1"/>
  <c r="C25" i="2"/>
  <c r="F22" i="2"/>
  <c r="E22" i="2"/>
  <c r="D22" i="2"/>
  <c r="H22" i="2" s="1"/>
  <c r="C22" i="2"/>
  <c r="E21" i="2"/>
  <c r="F21" i="2" s="1"/>
  <c r="D21" i="2"/>
  <c r="H21" i="2" s="1"/>
  <c r="C21" i="2"/>
  <c r="C22" i="4" l="1"/>
  <c r="I22" i="4" s="1"/>
  <c r="C23" i="4"/>
  <c r="I23" i="4" s="1"/>
  <c r="O8" i="2"/>
  <c r="C18" i="4"/>
  <c r="H18" i="4" s="1"/>
  <c r="H26" i="4"/>
  <c r="H19" i="4"/>
  <c r="H28" i="4"/>
  <c r="H27" i="4"/>
  <c r="H29" i="4"/>
  <c r="F29" i="4"/>
  <c r="F28" i="4"/>
  <c r="F24" i="4"/>
  <c r="F25" i="4"/>
  <c r="F26" i="4"/>
  <c r="F27" i="4"/>
  <c r="C20" i="4"/>
  <c r="H20" i="4" s="1"/>
  <c r="I24" i="4"/>
  <c r="I25" i="4"/>
  <c r="I26" i="4"/>
  <c r="I27" i="4"/>
  <c r="I28" i="4"/>
  <c r="I29" i="4"/>
  <c r="C21" i="4"/>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E20" i="2"/>
  <c r="F20" i="2" s="1"/>
  <c r="D20" i="2"/>
  <c r="H20" i="2" s="1"/>
  <c r="C20" i="2"/>
  <c r="E19" i="2"/>
  <c r="F19" i="2" s="1"/>
  <c r="D19" i="2"/>
  <c r="H19" i="2" s="1"/>
  <c r="C19" i="2"/>
  <c r="D18" i="2"/>
  <c r="H18" i="2" s="1"/>
  <c r="C18" i="2"/>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K23" i="4" s="1"/>
  <c r="H22" i="4"/>
  <c r="K22" i="4" s="1"/>
  <c r="K29" i="4"/>
  <c r="J29" i="4"/>
  <c r="K28" i="4"/>
  <c r="K27" i="4"/>
  <c r="K26" i="4"/>
  <c r="F33" i="2"/>
  <c r="K19" i="4"/>
  <c r="I20" i="4"/>
  <c r="I18" i="4"/>
  <c r="K18" i="4" s="1"/>
  <c r="I21" i="4"/>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N39" i="2" l="1"/>
  <c r="N54" i="2"/>
  <c r="N56" i="2" s="1"/>
  <c r="I22" i="2"/>
  <c r="I27" i="2"/>
  <c r="I23" i="2"/>
  <c r="I25" i="2"/>
  <c r="I26" i="2"/>
  <c r="I24" i="2"/>
  <c r="K20" i="4"/>
  <c r="N58" i="2" l="1"/>
  <c r="O48" i="2" s="1"/>
  <c r="I21" i="2"/>
  <c r="I20" i="2"/>
  <c r="I18" i="2"/>
  <c r="I19" i="2"/>
  <c r="K18" i="2" l="1" a="1"/>
  <c r="N59" i="2" s="1"/>
  <c r="O50" i="2" s="1"/>
  <c r="E29" i="4"/>
  <c r="K18" i="2" l="1"/>
  <c r="M18" i="2" s="1"/>
  <c r="N18" i="2" s="1"/>
  <c r="O18" i="2" s="1"/>
  <c r="M28" i="2"/>
  <c r="O28" i="2" s="1"/>
  <c r="M21" i="2"/>
  <c r="M22" i="2"/>
  <c r="M27" i="2"/>
  <c r="N27" i="2" s="1"/>
  <c r="M23" i="2"/>
  <c r="N23" i="2" s="1"/>
  <c r="M26" i="2"/>
  <c r="N26" i="2" s="1"/>
  <c r="M25" i="2"/>
  <c r="M29" i="2"/>
  <c r="O29" i="2" s="1"/>
  <c r="M24" i="2"/>
  <c r="M20" i="2"/>
  <c r="N20" i="2" s="1"/>
  <c r="M19" i="2"/>
  <c r="N19" i="2" s="1"/>
  <c r="O19" i="2" s="1"/>
  <c r="N21" i="2" l="1"/>
  <c r="O21" i="2"/>
  <c r="N28" i="2"/>
  <c r="O26" i="2"/>
  <c r="O27" i="2"/>
  <c r="N25" i="2"/>
  <c r="O25" i="2" s="1"/>
  <c r="N22" i="2"/>
  <c r="N29" i="2"/>
  <c r="N24" i="2"/>
  <c r="O20" i="2"/>
  <c r="O29" i="4"/>
  <c r="Q29" i="4" l="1"/>
  <c r="P29" i="4"/>
  <c r="O28" i="4" l="1"/>
  <c r="E28" i="4"/>
  <c r="P28" i="4" l="1"/>
  <c r="Q28" i="4" s="1"/>
  <c r="J28" i="4"/>
  <c r="D29" i="4" l="1"/>
  <c r="H24" i="4" l="1"/>
  <c r="K24" i="4" s="1"/>
  <c r="H25" i="4"/>
  <c r="K25" i="4" s="1"/>
  <c r="H21" i="4"/>
  <c r="K21" i="4" s="1"/>
  <c r="Q12" i="4"/>
  <c r="K34" i="4" l="1"/>
  <c r="M18" i="4" a="1"/>
  <c r="O27" i="4" s="1"/>
  <c r="P27" i="4" s="1"/>
  <c r="Q27" i="4" s="1"/>
  <c r="Q8" i="4"/>
  <c r="Q9" i="4"/>
  <c r="Q4" i="4"/>
  <c r="E24" i="4" l="1"/>
  <c r="E27" i="4"/>
  <c r="E21" i="4"/>
  <c r="J21" i="4" s="1"/>
  <c r="J24" i="4"/>
  <c r="O26" i="4"/>
  <c r="O23" i="4"/>
  <c r="O22" i="4"/>
  <c r="N33" i="4"/>
  <c r="M18" i="4"/>
  <c r="O18" i="4" s="1"/>
  <c r="O24" i="4"/>
  <c r="O19" i="4"/>
  <c r="O20" i="4"/>
  <c r="O25" i="4"/>
  <c r="O21" i="4"/>
  <c r="E19" i="4"/>
  <c r="E20" i="4"/>
  <c r="E18" i="4"/>
  <c r="E23" i="4"/>
  <c r="E22" i="4"/>
  <c r="E26" i="4"/>
  <c r="E25" i="4"/>
  <c r="J27" i="4" l="1"/>
  <c r="P19" i="4"/>
  <c r="Q19" i="4" s="1"/>
  <c r="J26" i="4"/>
  <c r="P23" i="4"/>
  <c r="Q23" i="4" s="1"/>
  <c r="P24" i="4"/>
  <c r="Q24" i="4" s="1"/>
  <c r="J22" i="4"/>
  <c r="P18" i="4"/>
  <c r="Q18" i="4" s="1"/>
  <c r="P26" i="4"/>
  <c r="Q26" i="4" s="1"/>
  <c r="J20" i="4"/>
  <c r="J19" i="4"/>
  <c r="P20" i="4"/>
  <c r="Q20" i="4" s="1"/>
  <c r="J25" i="4"/>
  <c r="P22" i="4"/>
  <c r="Q22" i="4" s="1"/>
  <c r="J23" i="4"/>
  <c r="E33" i="4"/>
  <c r="D26" i="4" s="1"/>
  <c r="J18" i="4"/>
  <c r="P21" i="4"/>
  <c r="Q21" i="4" s="1"/>
  <c r="P25" i="4"/>
  <c r="Q25" i="4" s="1"/>
  <c r="D27" i="4" l="1"/>
  <c r="D19" i="4"/>
  <c r="D20" i="4"/>
  <c r="D18" i="4"/>
  <c r="D23" i="4"/>
  <c r="D22" i="4"/>
  <c r="D25" i="4"/>
  <c r="J32" i="4"/>
  <c r="N41" i="2" s="1"/>
  <c r="N43" i="2" s="1"/>
  <c r="D28" i="4"/>
  <c r="D24" i="4"/>
  <c r="D21" i="4"/>
  <c r="N44" i="2" l="1"/>
  <c r="O5" i="2"/>
  <c r="O15" i="2"/>
  <c r="O33" i="2"/>
  <c r="P36" i="4"/>
  <c r="P38" i="4" s="1"/>
  <c r="P40" i="4" s="1"/>
  <c r="P41" i="4" s="1"/>
  <c r="O35" i="2" l="1"/>
  <c r="O9" i="2"/>
  <c r="Q31" i="4"/>
  <c r="Q33" i="4"/>
  <c r="Q15" i="4" l="1"/>
  <c r="Q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<sst xmlns="http://schemas.openxmlformats.org/spreadsheetml/2006/main" count="722" uniqueCount="471">
  <si>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</si>
  <si>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</si>
  <si>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</si>
  <si>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</si>
  <si>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</si>
  <si>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</si>
  <si>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</si>
  <si>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</si>
  <si>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</si>
  <si>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</si>
  <si>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</si>
  <si>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</si>
  <si>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</si>
  <si>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</si>
  <si>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</si>
  <si>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</si>
  <si>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</si>
  <si>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</si>
  <si>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</si>
  <si>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</si>
  <si>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</si>
  <si>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</si>
  <si>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</si>
  <si>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</si>
  <si>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</si>
  <si>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</si>
  <si>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</si>
  <si>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</si>
  <si>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</si>
  <si>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</si>
  <si>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</si>
  <si>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</si>
  <si>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</si>
  <si>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</si>
  <si>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</si>
  <si>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</si>
  <si>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</si>
  <si>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</si>
  <si>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</si>
  <si>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</si>
  <si>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</si>
  <si>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</si>
  <si>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</si>
  <si>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</si>
  <si>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</si>
  <si>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</si>
  <si>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</si>
  <si>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</si>
  <si>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</si>
  <si>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</si>
  <si>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</si>
  <si>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</si>
  <si>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</si>
  <si>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</si>
  <si>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</si>
  <si>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</si>
  <si>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</si>
  <si>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</si>
  <si>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</si>
  <si>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</si>
  <si>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</si>
  <si>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</si>
  <si>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</si>
  <si>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</si>
  <si>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</si>
  <si>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</si>
  <si>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</si>
  <si>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</si>
  <si>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</si>
  <si>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</si>
  <si>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</si>
  <si>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</si>
  <si>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</si>
  <si>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</si>
  <si>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</si>
  <si>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</si>
  <si>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</si>
  <si>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</si>
  <si>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</si>
  <si>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</si>
  <si>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</si>
  <si>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</si>
  <si>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</si>
  <si>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</si>
  <si>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</si>
  <si>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</si>
  <si>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</si>
  <si>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</si>
  <si>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</si>
  <si>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</si>
  <si>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</si>
  <si>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</si>
  <si>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</si>
  <si>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</si>
  <si>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</si>
  <si>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</si>
  <si>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</si>
  <si>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</si>
  <si>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</si>
  <si>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</si>
  <si>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</si>
  <si>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</si>
  <si>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</si>
  <si>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</si>
  <si>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</si>
  <si>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</si>
  <si>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</si>
  <si>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</si>
  <si>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</si>
  <si>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</si>
  <si>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</si>
  <si>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</si>
  <si>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</si>
  <si>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</si>
  <si>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</si>
  <si>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</si>
  <si>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</si>
  <si>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</si>
  <si>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</si>
  <si>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</si>
  <si>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</si>
  <si>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</si>
  <si>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</si>
  <si>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</si>
  <si>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</si>
  <si>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</si>
  <si>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</si>
  <si>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</si>
  <si>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</si>
  <si>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</si>
  <si>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</si>
  <si>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</si>
  <si>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</si>
  <si>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</si>
  <si>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</si>
  <si>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</si>
  <si>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</si>
  <si>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</si>
  <si>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</si>
  <si>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</si>
  <si>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</si>
  <si>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</si>
  <si>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</si>
  <si>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</si>
  <si>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</si>
  <si>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</si>
  <si>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</si>
  <si>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</si>
  <si>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</si>
  <si>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</si>
  <si>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</si>
  <si>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</si>
  <si>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</si>
  <si>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</si>
  <si>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</si>
  <si>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</si>
  <si>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</si>
  <si>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</si>
  <si>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</si>
  <si>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</si>
  <si>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</si>
  <si>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</si>
  <si>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</si>
  <si>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</si>
  <si>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</si>
  <si>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</si>
  <si>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</si>
  <si>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</si>
  <si>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</si>
  <si>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</si>
  <si>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</si>
  <si>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</si>
  <si>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</si>
  <si>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</si>
  <si>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</si>
  <si>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</si>
  <si>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</si>
  <si>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</si>
  <si>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</si>
  <si>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</si>
  <si>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</si>
  <si>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</si>
  <si>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</si>
  <si>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</si>
  <si>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</si>
  <si>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</si>
  <si>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</si>
  <si>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</si>
  <si>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</si>
  <si>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</si>
  <si>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</si>
  <si>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</si>
  <si>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</si>
  <si>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</si>
  <si>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</si>
  <si>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</si>
  <si>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</si>
  <si>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</si>
  <si>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</si>
  <si>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</si>
  <si>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</si>
  <si>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</si>
  <si>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</si>
  <si>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</si>
  <si>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</si>
  <si>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</si>
  <si>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</si>
  <si>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</si>
  <si>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</si>
  <si>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</si>
  <si>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</si>
  <si>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</si>
  <si>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</si>
  <si>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</si>
  <si>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</si>
  <si>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</si>
  <si>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</si>
  <si>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</si>
  <si>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</si>
  <si>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</si>
  <si>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</si>
  <si>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</si>
  <si>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</si>
  <si>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</si>
  <si>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</si>
  <si>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</si>
  <si>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</si>
  <si>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</si>
  <si>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</si>
  <si>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</si>
  <si>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</si>
  <si>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</si>
  <si>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</si>
  <si>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</si>
  <si>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</si>
  <si>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</si>
  <si>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</si>
  <si>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</si>
  <si>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</si>
  <si>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</si>
  <si>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</si>
  <si>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</si>
  <si>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</si>
  <si>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</si>
  <si>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</si>
  <si>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</si>
  <si>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</si>
  <si>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</si>
  <si>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</si>
  <si>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</si>
  <si>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</si>
  <si>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</si>
  <si>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</si>
  <si>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</si>
  <si>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</si>
  <si>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</si>
  <si>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</si>
  <si>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</si>
  <si>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</si>
  <si>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</si>
  <si>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</si>
  <si>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</si>
  <si>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</si>
  <si>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</si>
  <si>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</si>
  <si>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</si>
  <si>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</si>
  <si>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</si>
  <si>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</si>
  <si>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</si>
  <si>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</si>
  <si>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</si>
  <si>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</si>
  <si>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</si>
  <si>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</si>
  <si>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</si>
  <si>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</si>
  <si>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</si>
  <si>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</si>
  <si>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</si>
  <si>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</si>
  <si>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</si>
  <si>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</si>
  <si>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</si>
  <si>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</si>
  <si>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</si>
  <si>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</si>
  <si>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</si>
  <si>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</si>
  <si>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</si>
  <si>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</si>
  <si>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</si>
  <si>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</si>
  <si>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</si>
  <si>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</si>
  <si>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</si>
  <si>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</si>
  <si>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</si>
  <si>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</si>
  <si>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</si>
  <si>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</si>
  <si>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</si>
  <si>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</si>
  <si>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</si>
  <si>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</si>
  <si>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</si>
  <si>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</si>
  <si>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</si>
  <si>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</si>
  <si>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</si>
  <si>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</si>
  <si>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</si>
  <si>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</si>
  <si>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</si>
  <si>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</si>
  <si>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</si>
  <si>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</si>
  <si>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</si>
  <si>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</si>
  <si>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</si>
  <si>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</si>
  <si>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</si>
  <si>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</si>
  <si>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</si>
  <si>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</si>
  <si>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</si>
  <si>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</si>
  <si>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</si>
  <si>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</si>
  <si>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</si>
  <si>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</si>
  <si>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</si>
  <si>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</si>
  <si>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</si>
  <si>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</si>
  <si>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</si>
  <si>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</si>
  <si>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</si>
  <si>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</si>
  <si>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</si>
  <si>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</si>
  <si>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</si>
  <si>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</si>
  <si>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</si>
  <si>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</si>
  <si>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</si>
  <si>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</si>
  <si>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</si>
  <si>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</si>
  <si>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</si>
  <si>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</si>
  <si>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</si>
  <si>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</si>
  <si>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</si>
  <si>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</si>
  <si>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</si>
  <si>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</si>
  <si>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</si>
  <si>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</si>
  <si>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</si>
  <si>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</si>
  <si>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</si>
  <si>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</si>
  <si>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</si>
  <si>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</si>
  <si>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</si>
  <si>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</si>
  <si>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</si>
  <si>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</si>
  <si>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</si>
  <si>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</si>
  <si>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</si>
  <si>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</si>
  <si>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</si>
  <si>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</si>
  <si>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</si>
  <si>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</si>
  <si>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</si>
  <si>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</si>
  <si>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</si>
  <si>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</si>
  <si>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</si>
  <si>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</si>
  <si>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</si>
  <si>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</si>
  <si>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</si>
  <si>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</si>
  <si>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</si>
  <si>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</si>
  <si>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</si>
  <si>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</si>
  <si>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</si>
  <si>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</si>
  <si>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</si>
  <si>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</si>
  <si>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</si>
  <si>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</si>
  <si>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</si>
  <si>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</si>
  <si>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</si>
  <si>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</si>
  <si>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</si>
  <si>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</si>
  <si>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</si>
  <si>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</si>
  <si>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</si>
  <si>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</si>
  <si>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</si>
  <si>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</si>
  <si>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</si>
  <si>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</si>
  <si>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</si>
  <si>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</si>
  <si>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</si>
  <si>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</si>
  <si>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</si>
  <si>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 Copyright 2022, General Electric Company. All rights reserved. See https://github.com/xcist/code/blob/master/LICENSE</t>
  </si>
  <si>
    <t>water</t>
  </si>
  <si>
    <t>https://physics.nist.gov/PhysRefData/XrayMassCoef/tab2.html</t>
  </si>
  <si>
    <t>Sum true m.f.</t>
  </si>
  <si>
    <t>modified NCAT blood from NCAT software distribution</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</si>
  <si>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 and add to the revision log below.</t>
    </r>
  </si>
  <si>
    <t>Revision log</t>
  </si>
  <si>
    <t>Paul FitzGerald, GE-GRC</t>
  </si>
  <si>
    <t>density of blood</t>
  </si>
  <si>
    <t>estimate from CatSim material calculator</t>
  </si>
  <si>
    <t>paste this formula in G7:</t>
  </si>
  <si>
    <t>Number of atoms
* atomic weight</t>
  </si>
  <si>
    <t>"molecular" weight</t>
  </si>
  <si>
    <t>For iodine in NCAT blood:</t>
  </si>
  <si>
    <t>paste this formula in K5:</t>
  </si>
  <si>
    <t>paste this text in D6:</t>
  </si>
  <si>
    <t>paste this text in F8:</t>
  </si>
  <si>
    <t>% iodine</t>
  </si>
  <si>
    <t>m.f. iodine</t>
  </si>
  <si>
    <t>Enter in B28</t>
  </si>
  <si>
    <t>For iodine in water:</t>
  </si>
  <si>
    <t>Select (from the left) the desired temperature.</t>
  </si>
  <si>
    <t>https://www.engineeringtoolbox.com/water-density-specific-weight-d_595.html?vA=37&amp;units=C#</t>
  </si>
  <si>
    <t>density of water</t>
  </si>
  <si>
    <t>mg iodine/mL water-iodine solution</t>
  </si>
  <si>
    <t>mg iodine/mL blood-iodine solution</t>
  </si>
  <si>
    <t>density of water-iodine solution</t>
  </si>
  <si>
    <t>density of blood-iodine solution</t>
  </si>
  <si>
    <t>paste this formula in L5:</t>
  </si>
  <si>
    <t>molecular weight of water</t>
  </si>
  <si>
    <t>iodine mg/mL</t>
  </si>
  <si>
    <t>Enter in B20</t>
  </si>
  <si>
    <t>iodine atoms</t>
  </si>
  <si>
    <t>"molecular" weight of water-iodine solution</t>
  </si>
  <si>
    <t>"molecular" weight of blood-iodine solution</t>
  </si>
  <si>
    <t>"molecular" weight of blood</t>
  </si>
  <si>
    <t>scale factor: blood density -&gt; blood-iodine solution density</t>
  </si>
  <si>
    <t>scale factor: water density -&gt; water-iodine solution density</t>
  </si>
  <si>
    <t>tweak B20 until N43 is the target mg/mL (to 6 digits). Or copy values to the right and paste to B20.</t>
  </si>
  <si>
    <t>tweak B28 until P28 is the target percentage (to 6 digits) or until P41 is the target mg/mL. Or copy values to the right and paste to B28.</t>
  </si>
  <si>
    <t>For NaCl in water:</t>
  </si>
  <si>
    <t>"molecular" weight of water-NaCl solution</t>
  </si>
  <si>
    <t>scale factor: water density -&gt; water-NaCl solution density</t>
  </si>
  <si>
    <t>density of water-NaCl solution</t>
  </si>
  <si>
    <t>% NaCl in water-NaCl solution</t>
  </si>
  <si>
    <t>Enter I in A20.</t>
  </si>
  <si>
    <t>Enter Na in A20 , Cl in A21, and "= B20" in B21.</t>
  </si>
  <si>
    <t>tweak B20 until N59 is the target % NaCl (to 6 digits). Or copy values to the right and paste to B20.</t>
  </si>
  <si>
    <t>NaCl %</t>
  </si>
  <si>
    <t>Na atoms</t>
  </si>
  <si>
    <t>Scroll down to see shaded cells for water-iodine and water-NaCl.</t>
  </si>
  <si>
    <t xml:space="preserve">Scroll down to see shaded cells for NCAT blood-iodine. </t>
  </si>
  <si>
    <t>L18-L19 on "Enter a formula" sheet</t>
  </si>
  <si>
    <t>Enter the formula H2O in A18-B19 to get the mass fractions of water.</t>
  </si>
  <si>
    <t>Added estimator of iodine-in-blood density and concentration to "Enter mass fractions" sheet
Added estimator of iodine-in-water density and concentration to "Enter a formula"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</si>
</sst>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
    <numFmt numFmtId="166" formatCode="0.000000"/>
    <numFmt numFmtId="169" formatCode="mm/dd/yy;@"/>
    <numFmt numFmtId="171" formatCode="0.0"/>
    <numFmt numFmtId="177" formatCode="0.00000000000"/>
  </numFmts>
  <fonts count="21"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
      <b/>
      <u/>
      <sz val="11"/>
      <color theme="1"/>
      <name val="Calibri"/>
      <family val="2"/>
      <scheme val="minor"/>
    </font>
    <font>
      <b/>
      <i/>
      <sz val="14"/>
      <color rgb="FFFF0000"/>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
      <patternFill patternType="solid">
        <fgColor rgb="FFFFF3FF"/>
        <bgColor indexed="64"/>
      </patternFill>
    </fill>
    <fill>
      <patternFill patternType="solid">
        <fgColor rgb="FFDDF2FF"/>
        <bgColor indexed="64"/>
      </patternFill>
    </fill>
    <fill>
      <patternFill patternType="solid">
        <fgColor rgb="FFFFFFCC"/>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208">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xf numFmtId="165" fontId="1" fillId="3" borderId="16" xfId="0" applyNumberFormat="1" applyFont="1" applyFill="1" applyBorder="1" applyAlignment="1" applyProtection="1">
      <alignment horizontal="center"/>
      <protection locked="0"/>
    </xf>
    <xf numFmtId="0" fontId="0" fillId="0" borderId="0" xfId="0"/>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horizontal="left" vertical="top" wrapText="1"/>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0" borderId="3"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 fillId="0" borderId="23"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0" fillId="0" borderId="2" xfId="0" applyBorder="1" applyAlignment="1">
      <alignment horizontal="left" wrapText="1"/>
    </xf>
    <xf numFmtId="0" fontId="1" fillId="0" borderId="1" xfId="0" applyFont="1" applyBorder="1" applyAlignment="1">
      <alignment horizontal="center"/>
    </xf>
    <xf numFmtId="0" fontId="0" fillId="0" borderId="1" xfId="0" applyBorder="1" applyAlignment="1">
      <alignment horizontal="left"/>
    </xf>
    <xf numFmtId="0" fontId="0" fillId="0" borderId="5" xfId="0" applyBorder="1" applyAlignment="1">
      <alignment horizontal="left"/>
    </xf>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0" fillId="5" borderId="23" xfId="0" applyFill="1" applyBorder="1"/>
    <xf numFmtId="0" fontId="0" fillId="5" borderId="2" xfId="0" applyFill="1" applyBorder="1"/>
    <xf numFmtId="0" fontId="0" fillId="5" borderId="3" xfId="0" applyFill="1" applyBorder="1"/>
    <xf numFmtId="166" fontId="0" fillId="5" borderId="2" xfId="0" applyNumberFormat="1" applyFill="1" applyBorder="1"/>
    <xf numFmtId="0" fontId="0" fillId="5" borderId="25" xfId="0" applyFill="1" applyBorder="1"/>
    <xf numFmtId="169" fontId="0" fillId="0" borderId="0" xfId="0" applyNumberFormat="1"/>
    <xf numFmtId="0" fontId="19" fillId="0" borderId="1" xfId="0" applyFont="1" applyBorder="1" applyAlignment="1">
      <alignment horizontal="center"/>
    </xf>
    <xf numFmtId="0" fontId="19" fillId="0" borderId="5" xfId="0" applyFont="1" applyBorder="1" applyAlignment="1">
      <alignment horizontal="center"/>
    </xf>
    <xf numFmtId="0" fontId="19" fillId="0" borderId="23" xfId="0" applyFont="1" applyBorder="1" applyAlignment="1">
      <alignment horizontal="center"/>
    </xf>
    <xf numFmtId="171" fontId="0" fillId="5" borderId="4" xfId="0" applyNumberFormat="1" applyFill="1" applyBorder="1"/>
    <xf numFmtId="0" fontId="19" fillId="5" borderId="1" xfId="0" applyFont="1" applyFill="1" applyBorder="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19" xfId="0" applyFont="1" applyFill="1" applyBorder="1" applyAlignment="1">
      <alignment horizontal="left"/>
    </xf>
    <xf numFmtId="1" fontId="0" fillId="0" borderId="0" xfId="0" applyNumberFormat="1" applyBorder="1"/>
    <xf numFmtId="171" fontId="0" fillId="0" borderId="0" xfId="0" applyNumberFormat="1" applyFill="1" applyBorder="1"/>
    <xf numFmtId="171" fontId="0" fillId="0" borderId="3" xfId="0" applyNumberFormat="1" applyFill="1" applyBorder="1" applyAlignment="1" applyProtection="1">
      <alignment horizontal="right"/>
    </xf>
    <xf numFmtId="1" fontId="1" fillId="0" borderId="18" xfId="0" applyNumberFormat="1" applyFont="1" applyBorder="1"/>
    <xf numFmtId="1" fontId="1" fillId="0" borderId="18" xfId="0" applyNumberFormat="1" applyFont="1" applyFill="1" applyBorder="1"/>
    <xf numFmtId="171" fontId="0" fillId="5" borderId="2" xfId="0" applyNumberFormat="1" applyFill="1" applyBorder="1"/>
    <xf numFmtId="1" fontId="0" fillId="5" borderId="2" xfId="0" applyNumberFormat="1" applyFill="1" applyBorder="1"/>
    <xf numFmtId="165" fontId="0" fillId="5" borderId="3" xfId="0" applyNumberFormat="1" applyFill="1" applyBorder="1" applyAlignment="1">
      <alignment horizontal="left"/>
    </xf>
    <xf numFmtId="0" fontId="0" fillId="3" borderId="3" xfId="0" applyNumberFormat="1" applyFill="1" applyBorder="1" applyAlignment="1" applyProtection="1">
      <alignment horizontal="left"/>
      <protection locked="0"/>
    </xf>
    <xf numFmtId="0" fontId="1" fillId="5" borderId="20" xfId="0" applyFont="1" applyFill="1" applyBorder="1" applyAlignment="1">
      <alignment horizontal="left"/>
    </xf>
    <xf numFmtId="0" fontId="0" fillId="5" borderId="20" xfId="0" applyFill="1" applyBorder="1"/>
    <xf numFmtId="0" fontId="0" fillId="5" borderId="5" xfId="0" applyFill="1" applyBorder="1"/>
    <xf numFmtId="0" fontId="0" fillId="5" borderId="23" xfId="0" applyFill="1" applyBorder="1" applyAlignment="1">
      <alignment horizontal="right"/>
    </xf>
    <xf numFmtId="166" fontId="0" fillId="5" borderId="3" xfId="0" applyNumberFormat="1" applyFill="1" applyBorder="1"/>
    <xf numFmtId="166" fontId="0" fillId="5" borderId="25" xfId="0" applyNumberFormat="1" applyFill="1" applyBorder="1"/>
    <xf numFmtId="11" fontId="0" fillId="3" borderId="3" xfId="0" applyNumberFormat="1" applyFill="1" applyBorder="1" applyAlignment="1" applyProtection="1">
      <alignment horizontal="center"/>
      <protection locked="0"/>
    </xf>
    <xf numFmtId="0" fontId="19" fillId="6" borderId="1" xfId="0" applyFont="1" applyFill="1" applyBorder="1"/>
    <xf numFmtId="0" fontId="0" fillId="6" borderId="23" xfId="0" applyFill="1" applyBorder="1"/>
    <xf numFmtId="0" fontId="1" fillId="6" borderId="0" xfId="0" applyFont="1" applyFill="1" applyBorder="1" applyAlignment="1">
      <alignment horizontal="left"/>
    </xf>
    <xf numFmtId="165" fontId="0" fillId="6" borderId="3" xfId="0" applyNumberFormat="1" applyFill="1" applyBorder="1" applyAlignment="1">
      <alignment horizontal="left"/>
    </xf>
    <xf numFmtId="0" fontId="0" fillId="6" borderId="3" xfId="0" applyFill="1" applyBorder="1"/>
    <xf numFmtId="0" fontId="1" fillId="6" borderId="20" xfId="0" applyFont="1" applyFill="1" applyBorder="1" applyAlignment="1">
      <alignment horizontal="left"/>
    </xf>
    <xf numFmtId="0" fontId="0" fillId="6" borderId="20" xfId="0" applyFill="1" applyBorder="1"/>
    <xf numFmtId="166" fontId="0" fillId="6" borderId="2" xfId="0" applyNumberFormat="1" applyFill="1" applyBorder="1"/>
    <xf numFmtId="0" fontId="0" fillId="6" borderId="2" xfId="0" applyFill="1" applyBorder="1"/>
    <xf numFmtId="171" fontId="0" fillId="6" borderId="4" xfId="0" applyNumberFormat="1" applyFill="1" applyBorder="1"/>
    <xf numFmtId="0" fontId="0" fillId="6" borderId="25" xfId="0" applyFill="1" applyBorder="1"/>
    <xf numFmtId="0" fontId="1" fillId="6" borderId="2" xfId="0" applyFont="1" applyFill="1" applyBorder="1" applyAlignment="1">
      <alignment horizontal="left"/>
    </xf>
    <xf numFmtId="0" fontId="1" fillId="6" borderId="19" xfId="0" applyFont="1" applyFill="1" applyBorder="1" applyAlignment="1">
      <alignment horizontal="left"/>
    </xf>
    <xf numFmtId="0" fontId="0" fillId="6" borderId="5" xfId="0" applyFill="1" applyBorder="1"/>
    <xf numFmtId="0" fontId="0" fillId="6" borderId="23" xfId="0" applyFill="1" applyBorder="1" applyAlignment="1">
      <alignment horizontal="right"/>
    </xf>
    <xf numFmtId="171" fontId="0" fillId="6" borderId="2" xfId="0" applyNumberFormat="1" applyFill="1" applyBorder="1"/>
    <xf numFmtId="0" fontId="0" fillId="5" borderId="0" xfId="0" applyFill="1"/>
    <xf numFmtId="0" fontId="0" fillId="6" borderId="0" xfId="0" applyFill="1"/>
    <xf numFmtId="1" fontId="1" fillId="3" borderId="22" xfId="0" applyNumberFormat="1" applyFont="1" applyFill="1" applyBorder="1" applyAlignment="1" applyProtection="1">
      <alignment horizontal="center"/>
      <protection locked="0"/>
    </xf>
    <xf numFmtId="0" fontId="1" fillId="0" borderId="2" xfId="0" applyFont="1" applyBorder="1" applyAlignment="1">
      <alignment horizontal="left"/>
    </xf>
    <xf numFmtId="0" fontId="1" fillId="0" borderId="0" xfId="0" applyFont="1" applyBorder="1" applyAlignment="1">
      <alignment horizontal="left"/>
    </xf>
    <xf numFmtId="0" fontId="1" fillId="3" borderId="4" xfId="0" applyFont="1" applyFill="1" applyBorder="1" applyAlignment="1" applyProtection="1">
      <alignment horizontal="left"/>
      <protection locked="0"/>
    </xf>
    <xf numFmtId="0" fontId="1" fillId="3" borderId="6" xfId="0" applyFont="1" applyFill="1" applyBorder="1" applyAlignment="1" applyProtection="1">
      <alignment horizontal="left"/>
      <protection locked="0"/>
    </xf>
    <xf numFmtId="0" fontId="1" fillId="3" borderId="25" xfId="0" applyFont="1" applyFill="1" applyBorder="1" applyAlignment="1" applyProtection="1">
      <alignment horizontal="left"/>
      <protection locked="0"/>
    </xf>
    <xf numFmtId="0" fontId="1" fillId="3" borderId="19" xfId="0" applyFont="1" applyFill="1" applyBorder="1"/>
    <xf numFmtId="0" fontId="1" fillId="3" borderId="20" xfId="0" applyFont="1" applyFill="1" applyBorder="1"/>
    <xf numFmtId="0" fontId="1" fillId="3" borderId="21" xfId="0" applyFont="1" applyFill="1" applyBorder="1"/>
    <xf numFmtId="166" fontId="0" fillId="6" borderId="4" xfId="0" applyNumberFormat="1" applyFill="1" applyBorder="1"/>
    <xf numFmtId="177" fontId="0" fillId="6" borderId="3" xfId="0" applyNumberFormat="1" applyFill="1" applyBorder="1"/>
    <xf numFmtId="177" fontId="0" fillId="6" borderId="25" xfId="0" applyNumberFormat="1" applyFill="1" applyBorder="1"/>
    <xf numFmtId="0" fontId="19" fillId="7" borderId="1" xfId="0" applyFont="1" applyFill="1" applyBorder="1"/>
    <xf numFmtId="0" fontId="0" fillId="7" borderId="0" xfId="0" applyFill="1"/>
    <xf numFmtId="0" fontId="0" fillId="7" borderId="23" xfId="0" applyFill="1" applyBorder="1"/>
    <xf numFmtId="0" fontId="1" fillId="7" borderId="2" xfId="0" applyFont="1" applyFill="1" applyBorder="1" applyAlignment="1">
      <alignment horizontal="left"/>
    </xf>
    <xf numFmtId="0" fontId="1" fillId="7" borderId="0" xfId="0" applyFont="1" applyFill="1" applyBorder="1" applyAlignment="1">
      <alignment horizontal="left"/>
    </xf>
    <xf numFmtId="165" fontId="0" fillId="7" borderId="3" xfId="0" applyNumberFormat="1" applyFill="1" applyBorder="1" applyAlignment="1">
      <alignment horizontal="left"/>
    </xf>
    <xf numFmtId="0" fontId="0" fillId="7" borderId="3" xfId="0" applyFill="1" applyBorder="1"/>
    <xf numFmtId="0" fontId="1" fillId="7" borderId="19" xfId="0" applyFont="1" applyFill="1" applyBorder="1" applyAlignment="1">
      <alignment horizontal="left"/>
    </xf>
    <xf numFmtId="0" fontId="1" fillId="7" borderId="20" xfId="0" applyFont="1" applyFill="1" applyBorder="1" applyAlignment="1">
      <alignment horizontal="left"/>
    </xf>
    <xf numFmtId="0" fontId="0" fillId="7" borderId="20" xfId="0" applyFill="1" applyBorder="1"/>
    <xf numFmtId="166" fontId="0" fillId="7" borderId="2" xfId="0" applyNumberFormat="1" applyFill="1" applyBorder="1"/>
    <xf numFmtId="166" fontId="0" fillId="7" borderId="4" xfId="0" applyNumberFormat="1" applyFill="1" applyBorder="1"/>
    <xf numFmtId="0" fontId="0" fillId="7" borderId="25" xfId="0" applyFill="1" applyBorder="1"/>
    <xf numFmtId="0" fontId="0" fillId="7" borderId="5" xfId="0" applyFill="1" applyBorder="1"/>
    <xf numFmtId="0" fontId="0" fillId="7" borderId="23" xfId="0" applyFill="1" applyBorder="1" applyAlignment="1">
      <alignment horizontal="right"/>
    </xf>
    <xf numFmtId="0" fontId="0" fillId="7" borderId="2" xfId="0" applyFill="1" applyBorder="1"/>
    <xf numFmtId="171" fontId="0" fillId="7" borderId="4" xfId="0" applyNumberFormat="1" applyFill="1" applyBorder="1"/>
    <xf numFmtId="177" fontId="0" fillId="7" borderId="25" xfId="0" applyNumberFormat="1" applyFill="1" applyBorder="1"/>
    <xf numFmtId="0" fontId="20" fillId="0" borderId="19" xfId="0" applyFont="1" applyBorder="1" applyAlignment="1">
      <alignment horizontal="center"/>
    </xf>
    <xf numFmtId="0" fontId="20" fillId="0" borderId="20" xfId="0" applyFont="1" applyBorder="1" applyAlignment="1">
      <alignment horizontal="center"/>
    </xf>
    <xf numFmtId="0" fontId="20" fillId="0" borderId="21" xfId="0" applyFont="1" applyBorder="1" applyAlignment="1">
      <alignment horizontal="center"/>
    </xf>
    <xf numFmtId="0" fontId="5" fillId="3" borderId="19" xfId="1" applyFill="1" applyBorder="1"/>
    <xf numFmtId="0" fontId="0" fillId="0" borderId="0" xfId="0" applyAlignment="1">
      <alignment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FFCC"/>
      <color rgb="FFCCFFFF"/>
      <color rgb="FFDDF2FF"/>
      <color rgb="FFFFF3FF"/>
      <color rgb="FFCCECFF"/>
      <color rgb="FFFFCCFF"/>
      <color rgb="FFF8F8F8"/>
      <color rgb="FFCC33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hysics.nist.gov/PhysRefData/XrayMassCoef/tab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11"/>
  <sheetViews>
    <sheetView tabSelected="1" workbookViewId="0">
      <selection activeCell="A2" sqref="A2:C2"/>
    </sheetView>
  </sheetViews>
  <sheetFormatPr defaultRowHeight="15" x14ac:dyDescent="0.25"/>
  <cols>
    <col min="1" max="1" width="32.42578125" customWidth="1"/>
    <col min="2" max="2" width="9.140625" customWidth="1"/>
    <col min="3" max="3" width="81.28515625" customWidth="1"/>
  </cols>
  <sheetData>
    <row r="1" spans="1:12" x14ac:dyDescent="0.25">
      <c r="A1" s="29" t="s">
        <v>266</v>
      </c>
      <c r="B1" s="16">
        <v>1.1000000000000001</v>
      </c>
      <c r="C1" s="30" t="s">
        <v>421</v>
      </c>
      <c r="D1" s="30"/>
      <c r="E1" s="30"/>
      <c r="F1" s="30"/>
      <c r="G1" s="30"/>
      <c r="H1" s="30"/>
      <c r="I1" s="30"/>
      <c r="J1" s="30"/>
      <c r="K1" s="30"/>
      <c r="L1" s="31"/>
    </row>
    <row r="2" spans="1:12" x14ac:dyDescent="0.25">
      <c r="A2" s="56"/>
      <c r="B2" s="56"/>
      <c r="C2" s="56"/>
    </row>
    <row r="3" spans="1:12" ht="75" customHeight="1" x14ac:dyDescent="0.25">
      <c r="A3" s="57" t="s">
        <v>387</v>
      </c>
      <c r="B3" s="58"/>
      <c r="C3" s="58"/>
    </row>
    <row r="4" spans="1:12" s="51" customFormat="1" ht="24" customHeight="1" x14ac:dyDescent="0.25">
      <c r="A4" s="61" t="s">
        <v>416</v>
      </c>
      <c r="B4" s="61"/>
      <c r="C4" s="61"/>
    </row>
    <row r="5" spans="1:12" s="3" customFormat="1" ht="75" customHeight="1" x14ac:dyDescent="0.25">
      <c r="A5" s="54" t="s">
        <v>388</v>
      </c>
      <c r="B5" s="55"/>
      <c r="C5" s="55"/>
    </row>
    <row r="6" spans="1:12" s="3" customFormat="1" ht="75" customHeight="1" x14ac:dyDescent="0.25">
      <c r="A6" s="54" t="s">
        <v>413</v>
      </c>
      <c r="B6" s="55"/>
      <c r="C6" s="55"/>
    </row>
    <row r="7" spans="1:12" s="3" customFormat="1" ht="75" customHeight="1" x14ac:dyDescent="0.25">
      <c r="A7" s="54" t="s">
        <v>414</v>
      </c>
      <c r="B7" s="55"/>
      <c r="C7" s="55"/>
    </row>
    <row r="8" spans="1:12" ht="75" customHeight="1" x14ac:dyDescent="0.25">
      <c r="A8" s="59" t="s">
        <v>415</v>
      </c>
      <c r="B8" s="60"/>
      <c r="C8" s="60"/>
    </row>
    <row r="9" spans="1:12" ht="15.75" thickBot="1" x14ac:dyDescent="0.3"/>
    <row r="10" spans="1:12" x14ac:dyDescent="0.25">
      <c r="A10" s="131" t="s">
        <v>422</v>
      </c>
      <c r="B10" s="132"/>
      <c r="C10" s="133"/>
    </row>
    <row r="11" spans="1:12" ht="60" x14ac:dyDescent="0.25">
      <c r="A11" t="s">
        <v>423</v>
      </c>
      <c r="B11" s="130">
        <v>44672</v>
      </c>
      <c r="C11" s="207" t="s">
        <v>470</v>
      </c>
    </row>
  </sheetData>
  <mergeCells count="8">
    <mergeCell ref="A10:C10"/>
    <mergeCell ref="A7:C7"/>
    <mergeCell ref="A6:C6"/>
    <mergeCell ref="A2:C2"/>
    <mergeCell ref="A3:C3"/>
    <mergeCell ref="A8:C8"/>
    <mergeCell ref="A5:C5"/>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R64"/>
  <sheetViews>
    <sheetView zoomScale="90" zoomScaleNormal="90" workbookViewId="0">
      <selection activeCell="I53" sqref="I53"/>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 min="17" max="17" width="13.140625" customWidth="1"/>
    <col min="18" max="18" width="16.85546875" customWidth="1"/>
  </cols>
  <sheetData>
    <row r="1" spans="1:16" s="3" customFormat="1" ht="19.5" thickBot="1" x14ac:dyDescent="0.35">
      <c r="A1" s="65" t="s">
        <v>405</v>
      </c>
      <c r="B1" s="66"/>
      <c r="C1" s="66"/>
      <c r="D1" s="66"/>
      <c r="E1" s="67"/>
      <c r="F1" s="203" t="s">
        <v>466</v>
      </c>
      <c r="G1" s="204"/>
      <c r="H1" s="204"/>
      <c r="I1" s="204"/>
      <c r="J1" s="204"/>
      <c r="K1" s="204"/>
      <c r="L1" s="204"/>
      <c r="M1" s="204"/>
      <c r="N1" s="205"/>
      <c r="O1" s="28" t="s">
        <v>257</v>
      </c>
      <c r="P1" s="45"/>
    </row>
    <row r="2" spans="1:16" ht="15" customHeight="1" x14ac:dyDescent="0.25">
      <c r="A2" s="62" t="s">
        <v>382</v>
      </c>
      <c r="B2" s="62"/>
      <c r="C2" s="62"/>
      <c r="D2" s="62"/>
      <c r="E2" s="62"/>
      <c r="F2" s="62"/>
      <c r="G2" s="62"/>
      <c r="H2" s="62"/>
      <c r="I2" s="62"/>
      <c r="J2" s="62"/>
      <c r="K2" s="62"/>
      <c r="L2" s="62"/>
      <c r="M2" s="62"/>
      <c r="N2" s="62"/>
      <c r="O2" s="11" t="s">
        <v>416</v>
      </c>
    </row>
    <row r="3" spans="1:16" s="3" customFormat="1" ht="15" customHeight="1" x14ac:dyDescent="0.25">
      <c r="A3" s="62" t="s">
        <v>408</v>
      </c>
      <c r="B3" s="62"/>
      <c r="C3" s="62"/>
      <c r="D3" s="62"/>
      <c r="E3" s="62"/>
      <c r="F3" s="62"/>
      <c r="G3" s="62"/>
      <c r="H3" s="62"/>
      <c r="I3" s="62"/>
      <c r="J3" s="62"/>
      <c r="K3" s="62"/>
      <c r="L3" s="62"/>
      <c r="M3" s="62"/>
      <c r="N3" s="63"/>
      <c r="O3" s="12" t="str">
        <f>CONCATENATE("# Made with ",Instructions!A$1, " ",Instructions!B$1, ".")</f>
        <v># Made with CatSim material calculator, version 1.1.</v>
      </c>
    </row>
    <row r="4" spans="1:16" ht="15" customHeight="1" thickBot="1" x14ac:dyDescent="0.3">
      <c r="A4" s="62" t="s">
        <v>409</v>
      </c>
      <c r="B4" s="62"/>
      <c r="C4" s="62"/>
      <c r="D4" s="62"/>
      <c r="E4" s="62"/>
      <c r="F4" s="62"/>
      <c r="G4" s="62"/>
      <c r="H4" s="62"/>
      <c r="I4" s="62"/>
      <c r="J4" s="62"/>
      <c r="K4" s="62"/>
      <c r="L4" s="62"/>
      <c r="M4" s="62"/>
      <c r="N4" s="63"/>
      <c r="O4" s="23" t="str">
        <f>IF(O12&lt;&gt;"1", CONCATENATE("# Molecular weights from ", Data!$I$1, "."), "")</f>
        <v># Molecular weights from https://www.nist.gov/pml/atomic-weights-and-isotopic-compositions-relative-atomic-masses.</v>
      </c>
    </row>
    <row r="5" spans="1:16" s="3" customFormat="1" ht="15" customHeight="1" thickBot="1" x14ac:dyDescent="0.3">
      <c r="A5" s="64" t="s">
        <v>410</v>
      </c>
      <c r="B5" s="64"/>
      <c r="C5" s="64"/>
      <c r="D5" s="64"/>
      <c r="E5" s="64"/>
      <c r="F5" s="64"/>
      <c r="G5" s="64"/>
      <c r="H5" s="64"/>
      <c r="I5" s="64"/>
      <c r="J5" s="64"/>
      <c r="K5" s="75"/>
      <c r="L5" s="52">
        <v>1</v>
      </c>
      <c r="M5" s="10" t="s">
        <v>264</v>
      </c>
      <c r="N5" s="13"/>
      <c r="O5" s="23" t="str">
        <f>IF(AND($O$12="1",ISBLANK($L$5),ISBLANK($D$6)),CONCATENATE("# Density from ", Data!$S$1, "."), IF(ISBLANK($D$6),"# Density source not specified.",_xlfn.CONCAT("# Density source: ",$D$6)))</f>
        <v># Density source: https://physics.nist.gov/PhysRefData/XrayMassCoef/tab2.html</v>
      </c>
    </row>
    <row r="6" spans="1:16" s="3" customFormat="1" ht="15" customHeight="1" thickBot="1" x14ac:dyDescent="0.3">
      <c r="A6" s="64" t="s">
        <v>381</v>
      </c>
      <c r="B6" s="64"/>
      <c r="C6" s="64"/>
      <c r="D6" s="206" t="s">
        <v>418</v>
      </c>
      <c r="E6" s="180"/>
      <c r="F6" s="180"/>
      <c r="G6" s="180"/>
      <c r="H6" s="180"/>
      <c r="I6" s="180"/>
      <c r="J6" s="180"/>
      <c r="K6" s="180"/>
      <c r="L6" s="180"/>
      <c r="M6" s="180"/>
      <c r="N6" s="181"/>
      <c r="O6" s="23" t="str">
        <f>IF($O$12="1", IF(ISBLANK($F$8), "", #N/A), IF(ISBLANK($F$8), "# Material composition source not specified.", CONCATENATE("# Material composition source: ",$F$8)))</f>
        <v># Material composition source: same as density</v>
      </c>
    </row>
    <row r="7" spans="1:16" s="3" customFormat="1" ht="15" customHeight="1" thickBot="1" x14ac:dyDescent="0.3">
      <c r="A7" s="64" t="s">
        <v>377</v>
      </c>
      <c r="B7" s="64"/>
      <c r="C7" s="64"/>
      <c r="D7" s="64"/>
      <c r="E7" s="64"/>
      <c r="F7" s="75"/>
      <c r="G7" s="176" t="s">
        <v>417</v>
      </c>
      <c r="H7" s="177"/>
      <c r="I7" s="177"/>
      <c r="J7" s="177"/>
      <c r="K7" s="177"/>
      <c r="L7" s="177"/>
      <c r="M7" s="177"/>
      <c r="N7" s="178"/>
      <c r="O7" s="24"/>
    </row>
    <row r="8" spans="1:16" s="3" customFormat="1" ht="15.75" customHeight="1" thickBot="1" x14ac:dyDescent="0.3">
      <c r="A8" s="64" t="s">
        <v>378</v>
      </c>
      <c r="B8" s="64"/>
      <c r="C8" s="64"/>
      <c r="D8" s="64"/>
      <c r="E8" s="64"/>
      <c r="F8" s="101" t="s">
        <v>380</v>
      </c>
      <c r="G8" s="102"/>
      <c r="H8" s="102"/>
      <c r="I8" s="102"/>
      <c r="J8" s="102"/>
      <c r="K8" s="102"/>
      <c r="L8" s="102"/>
      <c r="M8" s="102"/>
      <c r="N8" s="103"/>
      <c r="O8" s="23" t="str">
        <f>IF($O$12="1","# Elemental material: ", "# Material name:")</f>
        <v># Material name:</v>
      </c>
    </row>
    <row r="9" spans="1:16" ht="15.75" customHeight="1" thickBot="1" x14ac:dyDescent="0.3">
      <c r="A9" s="13" t="s">
        <v>398</v>
      </c>
      <c r="B9" s="13"/>
      <c r="C9" s="13"/>
      <c r="D9" s="46">
        <v>6</v>
      </c>
      <c r="E9" s="74" t="s">
        <v>397</v>
      </c>
      <c r="F9" s="64"/>
      <c r="G9" s="64"/>
      <c r="H9" s="64"/>
      <c r="I9" s="64"/>
      <c r="J9" s="64"/>
      <c r="K9" s="64"/>
      <c r="L9" s="64"/>
      <c r="M9" s="64"/>
      <c r="N9" s="75"/>
      <c r="O9" s="23" t="str">
        <f>IF($O$12="1", IF(ISBLANK($G$7),_xlfn.CONCAT("# ",$A$18, " (", $C$18,")"), _xlfn.CONCAT("# ", $G$7)), IF(ISBLANK($G$7),"# not specified", _xlfn.CONCAT("# ", $G$7)))</f>
        <v># water</v>
      </c>
    </row>
    <row r="10" spans="1:16" ht="15" customHeight="1" x14ac:dyDescent="0.25">
      <c r="A10" s="62" t="s">
        <v>379</v>
      </c>
      <c r="B10" s="62"/>
      <c r="C10" s="62"/>
      <c r="D10" s="62"/>
      <c r="E10" s="62"/>
      <c r="F10" s="62"/>
      <c r="G10" s="62"/>
      <c r="H10" s="62"/>
      <c r="I10" s="62"/>
      <c r="J10" s="62"/>
      <c r="K10" s="62"/>
      <c r="L10" s="62"/>
      <c r="M10" s="62"/>
      <c r="N10" s="62"/>
      <c r="O10" s="24"/>
    </row>
    <row r="11" spans="1:16" s="3" customFormat="1" ht="15" customHeight="1" thickBot="1" x14ac:dyDescent="0.3">
      <c r="A11" s="64" t="s">
        <v>265</v>
      </c>
      <c r="B11" s="64"/>
      <c r="C11" s="64"/>
      <c r="D11" s="64"/>
      <c r="E11" s="64"/>
      <c r="F11" s="64"/>
      <c r="G11" s="64"/>
      <c r="H11" s="64"/>
      <c r="I11" s="64"/>
      <c r="J11" s="64"/>
      <c r="K11" s="64"/>
      <c r="L11" s="64"/>
      <c r="M11" s="64"/>
      <c r="N11" s="64"/>
      <c r="O11" s="24" t="s">
        <v>385</v>
      </c>
    </row>
    <row r="12" spans="1:16" ht="15" customHeight="1" x14ac:dyDescent="0.25">
      <c r="A12" s="91" t="s">
        <v>399</v>
      </c>
      <c r="B12" s="92"/>
      <c r="C12" s="84" t="s">
        <v>256</v>
      </c>
      <c r="D12" s="104" t="s">
        <v>259</v>
      </c>
      <c r="E12" s="104" t="s">
        <v>391</v>
      </c>
      <c r="F12" s="104" t="s">
        <v>392</v>
      </c>
      <c r="G12" s="76"/>
      <c r="H12" s="104" t="s">
        <v>393</v>
      </c>
      <c r="I12" s="104" t="s">
        <v>389</v>
      </c>
      <c r="J12" s="79"/>
      <c r="K12" s="95" t="s">
        <v>262</v>
      </c>
      <c r="L12" s="96"/>
      <c r="M12" s="99" t="s">
        <v>261</v>
      </c>
      <c r="N12" s="95"/>
      <c r="O12" s="23" t="str">
        <f>IF(COUNTA(A18:A29)&lt;&gt;COUNTA(B18:B29),"Error! Different number of entries for Symbol and Number of atoms per molecule.", _xlfn.VALUETOTEXT(COUNTA(B18:B29)))</f>
        <v>2</v>
      </c>
    </row>
    <row r="13" spans="1:16" ht="15" customHeight="1" x14ac:dyDescent="0.25">
      <c r="A13" s="93"/>
      <c r="B13" s="94"/>
      <c r="C13" s="85"/>
      <c r="D13" s="105"/>
      <c r="E13" s="105"/>
      <c r="F13" s="105"/>
      <c r="G13" s="77"/>
      <c r="H13" s="105"/>
      <c r="I13" s="105"/>
      <c r="J13" s="80"/>
      <c r="K13" s="97"/>
      <c r="L13" s="98"/>
      <c r="M13" s="100"/>
      <c r="N13" s="97"/>
      <c r="O13" s="24"/>
    </row>
    <row r="14" spans="1:16" s="3" customFormat="1" ht="15" customHeight="1" x14ac:dyDescent="0.25">
      <c r="A14" s="82" t="s">
        <v>263</v>
      </c>
      <c r="B14" s="87" t="s">
        <v>406</v>
      </c>
      <c r="C14" s="85"/>
      <c r="D14" s="105"/>
      <c r="E14" s="105"/>
      <c r="F14" s="105"/>
      <c r="G14" s="77"/>
      <c r="H14" s="105"/>
      <c r="I14" s="105"/>
      <c r="J14" s="80"/>
      <c r="K14" s="68" t="s">
        <v>259</v>
      </c>
      <c r="L14" s="70" t="s">
        <v>389</v>
      </c>
      <c r="M14" s="72" t="s">
        <v>259</v>
      </c>
      <c r="N14" s="68" t="s">
        <v>389</v>
      </c>
      <c r="O14" s="24" t="str">
        <f>CONCATENATE("# Density:")</f>
        <v># Density:</v>
      </c>
    </row>
    <row r="15" spans="1:16" s="3" customFormat="1" ht="15" customHeight="1" x14ac:dyDescent="0.25">
      <c r="A15" s="82"/>
      <c r="B15" s="87"/>
      <c r="C15" s="85"/>
      <c r="D15" s="105"/>
      <c r="E15" s="105"/>
      <c r="F15" s="105"/>
      <c r="G15" s="77"/>
      <c r="H15" s="105"/>
      <c r="I15" s="105"/>
      <c r="J15" s="80"/>
      <c r="K15" s="68"/>
      <c r="L15" s="70"/>
      <c r="M15" s="72"/>
      <c r="N15" s="68"/>
      <c r="O15" s="24" t="str">
        <f>IF($O$12="1", IF(ISBLANK($L$5),FIXED(_xlfn.XLOOKUP($A18,Data!$T$6:$T$123,Data!$V$6:$V$123,#N/A),$D$9),FIXED($L$5,$D$9)),IF(ISBLANK($L$5),"Error! Density value not specified!",FIXED($L$5,$D$9)))</f>
        <v>1.000000</v>
      </c>
    </row>
    <row r="16" spans="1:16" s="3" customFormat="1" ht="15" customHeight="1" x14ac:dyDescent="0.25">
      <c r="A16" s="82"/>
      <c r="B16" s="87"/>
      <c r="C16" s="85"/>
      <c r="D16" s="105"/>
      <c r="E16" s="105"/>
      <c r="F16" s="105"/>
      <c r="G16" s="77"/>
      <c r="H16" s="105"/>
      <c r="I16" s="105"/>
      <c r="J16" s="80"/>
      <c r="K16" s="68"/>
      <c r="L16" s="70"/>
      <c r="M16" s="72"/>
      <c r="N16" s="68"/>
      <c r="O16" s="24"/>
    </row>
    <row r="17" spans="1:18" s="3" customFormat="1" ht="15" customHeight="1" x14ac:dyDescent="0.25">
      <c r="A17" s="83"/>
      <c r="B17" s="88"/>
      <c r="C17" s="86"/>
      <c r="D17" s="106"/>
      <c r="E17" s="106"/>
      <c r="F17" s="106"/>
      <c r="G17" s="77"/>
      <c r="H17" s="106"/>
      <c r="I17" s="106"/>
      <c r="J17" s="80"/>
      <c r="K17" s="69"/>
      <c r="L17" s="71"/>
      <c r="M17" s="73"/>
      <c r="N17" s="69"/>
      <c r="O17" s="24" t="s">
        <v>386</v>
      </c>
    </row>
    <row r="18" spans="1:18" ht="15" customHeight="1" x14ac:dyDescent="0.25">
      <c r="A18" s="47" t="s">
        <v>7</v>
      </c>
      <c r="B18" s="32">
        <v>2</v>
      </c>
      <c r="C18" s="6" t="str">
        <f>IF(ISBLANK($A18), "", _xlfn.XLOOKUP($A18,Data!$B$6:$B$123,Data!$A$6:$A$123,#N/A))</f>
        <v>hydrogen</v>
      </c>
      <c r="D18" s="6">
        <f>IF(ISBLANK($A18), "", _xlfn.XLOOKUP($A18,Data!$B$6:$B$123,Data!$C$6:$C$123,#N/A))</f>
        <v>1</v>
      </c>
      <c r="E18" s="6">
        <f>IF(ISBLANK($A18), "", _xlfn.XLOOKUP($A18,Data!$B$6:$B$123,Data!$G$6:$G$123,#N/A))</f>
        <v>1.0079750000000001</v>
      </c>
      <c r="F18" s="37">
        <f>IF(ISBLANK($A18), "", B18*E18)</f>
        <v>2.0159500000000001</v>
      </c>
      <c r="G18" s="77"/>
      <c r="H18" s="6">
        <f>D18</f>
        <v>1</v>
      </c>
      <c r="I18" s="37">
        <f>IF(ISBLANK($B18), "", F18/F$33)</f>
        <v>0.11190179485827366</v>
      </c>
      <c r="J18" s="80"/>
      <c r="K18" s="14" cm="1">
        <f t="array" ref="K18:L19">_xlfn._xlws.SORT(H18:INDEX(H18:I29,O12,2),1,1,FALSE)</f>
        <v>1</v>
      </c>
      <c r="L18" s="14">
        <v>0.11190179485827366</v>
      </c>
      <c r="M18" s="8" t="str">
        <f>_xlfn.VALUETOTEXT(K18)</f>
        <v>1</v>
      </c>
      <c r="N18" s="14" t="str">
        <f>IF(M18="", "", FIXED(L18,$D$9))</f>
        <v>0.111902</v>
      </c>
      <c r="O18" s="24" t="str">
        <f>IF(M18="", "", CONCATENATE(M18, "    ",N18, "    # ", _xlfn.XLOOKUP(VALUE(M18),Data!$C$6:$C$123,Data!$A$6:$A$123,#N/A)))</f>
        <v>1    0.111902    # hydrogen</v>
      </c>
    </row>
    <row r="19" spans="1:18" x14ac:dyDescent="0.25">
      <c r="A19" s="47" t="s">
        <v>26</v>
      </c>
      <c r="B19" s="32">
        <v>1</v>
      </c>
      <c r="C19" s="6" t="str">
        <f>IF(ISBLANK($A19), "", _xlfn.XLOOKUP($A19,Data!$B$6:$B$123,Data!$A$6:$A$123,#N/A))</f>
        <v>oxygen</v>
      </c>
      <c r="D19" s="6">
        <f>IF(ISBLANK($A19), "", _xlfn.XLOOKUP($A19,Data!$B$6:$B$123,Data!$C$6:$C$123,#N/A))</f>
        <v>8</v>
      </c>
      <c r="E19" s="6">
        <f>IF(ISBLANK($A19), "", _xlfn.XLOOKUP($A19,Data!$B$6:$B$123,Data!$G$6:$G$123,#N/A))</f>
        <v>15.9994</v>
      </c>
      <c r="F19" s="37">
        <f>IF(ISBLANK($A19), "", B19*E19)</f>
        <v>15.9994</v>
      </c>
      <c r="G19" s="77"/>
      <c r="H19" s="6">
        <f t="shared" ref="H19:H29" si="0">D19</f>
        <v>8</v>
      </c>
      <c r="I19" s="37">
        <f>IF(ISBLANK($B19), "", F19/F$33)</f>
        <v>0.88809820514172644</v>
      </c>
      <c r="J19" s="80"/>
      <c r="K19" s="14">
        <v>8</v>
      </c>
      <c r="L19" s="14">
        <v>0.88809820514172644</v>
      </c>
      <c r="M19" s="8" t="str">
        <f t="shared" ref="M19:M29" si="1">_xlfn.VALUETOTEXT(K19)</f>
        <v>8</v>
      </c>
      <c r="N19" s="14" t="str">
        <f t="shared" ref="N19:N29" si="2">IF(M19="", "", FIXED(L19,$D$9))</f>
        <v>0.888098</v>
      </c>
      <c r="O19" s="24" t="str">
        <f>IF(M19="", "", CONCATENATE(M19, "    ",N19, "    # ", _xlfn.XLOOKUP(VALUE(M19),Data!$C$6:$C$123,Data!$A$6:$A$123,#N/A)))</f>
        <v>8    0.888098    # oxygen</v>
      </c>
    </row>
    <row r="20" spans="1:18" x14ac:dyDescent="0.25">
      <c r="A20" s="47"/>
      <c r="B20" s="154"/>
      <c r="C20" s="6" t="str">
        <f>IF(ISBLANK($A20), "", _xlfn.XLOOKUP($A20,Data!$B$6:$B$123,Data!$A$6:$A$123,#N/A))</f>
        <v/>
      </c>
      <c r="D20" s="6" t="str">
        <f>IF(ISBLANK($A20), "", _xlfn.XLOOKUP($A20,Data!$B$6:$B$123,Data!$C$6:$C$123,#N/A))</f>
        <v/>
      </c>
      <c r="E20" s="6" t="str">
        <f>IF(ISBLANK($A20), "", _xlfn.XLOOKUP($A20,Data!$B$6:$B$123,Data!$G$6:$G$123,#N/A))</f>
        <v/>
      </c>
      <c r="F20" s="37" t="str">
        <f>IF(ISBLANK($A20), "", B20*E20)</f>
        <v/>
      </c>
      <c r="G20" s="77"/>
      <c r="H20" s="6" t="str">
        <f t="shared" si="0"/>
        <v/>
      </c>
      <c r="I20" s="37" t="str">
        <f>IF(ISBLANK($B20), "", F20/F$33)</f>
        <v/>
      </c>
      <c r="J20" s="80"/>
      <c r="K20" s="14"/>
      <c r="L20" s="14"/>
      <c r="M20" s="8" t="str">
        <f t="shared" si="1"/>
        <v/>
      </c>
      <c r="N20" s="14" t="str">
        <f t="shared" si="2"/>
        <v/>
      </c>
      <c r="O20" s="24" t="str">
        <f>IF(M20="", "", CONCATENATE(M20, "    ",N20, "    # ", _xlfn.XLOOKUP(VALUE(M20),Data!$C$6:$C$123,Data!$A$6:$A$123,#N/A)))</f>
        <v/>
      </c>
    </row>
    <row r="21" spans="1:18" x14ac:dyDescent="0.25">
      <c r="A21" s="47"/>
      <c r="B21" s="154"/>
      <c r="C21" s="6" t="str">
        <f>IF(ISBLANK($A21), "", _xlfn.XLOOKUP($A21,Data!$B$6:$B$123,Data!$A$6:$A$123,#N/A))</f>
        <v/>
      </c>
      <c r="D21" s="6" t="str">
        <f>IF(ISBLANK($A21), "", _xlfn.XLOOKUP($A21,Data!$B$6:$B$123,Data!$C$6:$C$123,#N/A))</f>
        <v/>
      </c>
      <c r="E21" s="6" t="str">
        <f>IF(ISBLANK($A21), "", _xlfn.XLOOKUP($A21,Data!$B$6:$B$123,Data!$G$6:$G$123,#N/A))</f>
        <v/>
      </c>
      <c r="F21" s="37" t="str">
        <f>IF(ISBLANK($A21), "", B21*E21)</f>
        <v/>
      </c>
      <c r="G21" s="77"/>
      <c r="H21" s="6" t="str">
        <f t="shared" si="0"/>
        <v/>
      </c>
      <c r="I21" s="37" t="str">
        <f>IF(ISBLANK($B21), "", F21/F$33)</f>
        <v/>
      </c>
      <c r="J21" s="80"/>
      <c r="K21" s="14"/>
      <c r="L21" s="14"/>
      <c r="M21" s="8" t="str">
        <f t="shared" si="1"/>
        <v/>
      </c>
      <c r="N21" s="14" t="str">
        <f t="shared" si="2"/>
        <v/>
      </c>
      <c r="O21" s="24" t="str">
        <f>IF(M21="", "", CONCATENATE(M21, "    ",N21, "    # ", _xlfn.XLOOKUP(VALUE(M21),Data!$C$6:$C$123,Data!$A$6:$A$123,#N/A)))</f>
        <v/>
      </c>
    </row>
    <row r="22" spans="1:18" x14ac:dyDescent="0.25">
      <c r="A22" s="47"/>
      <c r="B22" s="32"/>
      <c r="C22" s="6" t="str">
        <f>IF(ISBLANK($A22), "", _xlfn.XLOOKUP($A22,Data!$B$6:$B$123,Data!$A$6:$A$123,#N/A))</f>
        <v/>
      </c>
      <c r="D22" s="6" t="str">
        <f>IF(ISBLANK($A22), "", _xlfn.XLOOKUP($A22,Data!$B$6:$B$123,Data!$C$6:$C$123,#N/A))</f>
        <v/>
      </c>
      <c r="E22" s="6" t="str">
        <f>IF(ISBLANK($A22), "", _xlfn.XLOOKUP($A22,Data!$B$6:$B$123,Data!$G$6:$G$123,#N/A))</f>
        <v/>
      </c>
      <c r="F22" s="37" t="str">
        <f t="shared" ref="F22:F29" si="3">IF(ISBLANK($A22), "", B22*E22)</f>
        <v/>
      </c>
      <c r="G22" s="77"/>
      <c r="H22" s="6" t="str">
        <f t="shared" si="0"/>
        <v/>
      </c>
      <c r="I22" s="37" t="str">
        <f t="shared" ref="I22:I29" si="4">IF(ISBLANK($B22), "", F22/F$33)</f>
        <v/>
      </c>
      <c r="J22" s="80"/>
      <c r="K22" s="14"/>
      <c r="L22" s="14"/>
      <c r="M22" s="8" t="str">
        <f t="shared" si="1"/>
        <v/>
      </c>
      <c r="N22" s="14" t="str">
        <f t="shared" si="2"/>
        <v/>
      </c>
      <c r="O22" s="24" t="str">
        <f>IF(M22="", "", CONCATENATE(M22, "    ",N22, "    # ", _xlfn.XLOOKUP(VALUE(M22),Data!$C$6:$C$123,Data!$A$6:$A$123,#N/A)))</f>
        <v/>
      </c>
    </row>
    <row r="23" spans="1:18" s="3" customFormat="1" x14ac:dyDescent="0.25">
      <c r="A23" s="47"/>
      <c r="B23" s="32"/>
      <c r="C23" s="6" t="str">
        <f>IF(ISBLANK($A23), "", _xlfn.XLOOKUP($A23,Data!$B$6:$B$123,Data!$A$6:$A$123,#N/A))</f>
        <v/>
      </c>
      <c r="D23" s="6" t="str">
        <f>IF(ISBLANK($A23), "", _xlfn.XLOOKUP($A23,Data!$B$6:$B$123,Data!$C$6:$C$123,#N/A))</f>
        <v/>
      </c>
      <c r="E23" s="6" t="str">
        <f>IF(ISBLANK($A23), "", _xlfn.XLOOKUP($A23,Data!$B$6:$B$123,Data!$G$6:$G$123,#N/A))</f>
        <v/>
      </c>
      <c r="F23" s="37" t="str">
        <f t="shared" ref="F23:F24" si="5">IF(ISBLANK($A23), "", B23*E23)</f>
        <v/>
      </c>
      <c r="G23" s="77"/>
      <c r="H23" s="6" t="str">
        <f t="shared" ref="H23:H24" si="6">D23</f>
        <v/>
      </c>
      <c r="I23" s="37" t="str">
        <f t="shared" si="4"/>
        <v/>
      </c>
      <c r="J23" s="80"/>
      <c r="K23" s="14"/>
      <c r="L23" s="14"/>
      <c r="M23" s="8" t="str">
        <f t="shared" ref="M23:M24" si="7">_xlfn.VALUETOTEXT(K23)</f>
        <v/>
      </c>
      <c r="N23" s="14" t="str">
        <f t="shared" ref="N23:N24" si="8">IF(M23="", "", FIXED(L23,$D$9))</f>
        <v/>
      </c>
      <c r="O23" s="24" t="str">
        <f>IF(M23="", "", CONCATENATE(M23, "    ",N23, "    # ", _xlfn.XLOOKUP(VALUE(M23),Data!$C$6:$C$123,Data!$A$6:$A$123,#N/A)))</f>
        <v/>
      </c>
    </row>
    <row r="24" spans="1:18" s="3" customFormat="1" x14ac:dyDescent="0.25">
      <c r="A24" s="47"/>
      <c r="B24" s="32"/>
      <c r="C24" s="6" t="str">
        <f>IF(ISBLANK($A24), "", _xlfn.XLOOKUP($A24,Data!$B$6:$B$123,Data!$A$6:$A$123,#N/A))</f>
        <v/>
      </c>
      <c r="D24" s="6" t="str">
        <f>IF(ISBLANK($A24), "", _xlfn.XLOOKUP($A24,Data!$B$6:$B$123,Data!$C$6:$C$123,#N/A))</f>
        <v/>
      </c>
      <c r="E24" s="6" t="str">
        <f>IF(ISBLANK($A24), "", _xlfn.XLOOKUP($A24,Data!$B$6:$B$123,Data!$G$6:$G$123,#N/A))</f>
        <v/>
      </c>
      <c r="F24" s="37" t="str">
        <f t="shared" si="5"/>
        <v/>
      </c>
      <c r="G24" s="77"/>
      <c r="H24" s="6" t="str">
        <f t="shared" si="6"/>
        <v/>
      </c>
      <c r="I24" s="37" t="str">
        <f t="shared" si="4"/>
        <v/>
      </c>
      <c r="J24" s="80"/>
      <c r="K24" s="14"/>
      <c r="L24" s="14"/>
      <c r="M24" s="8" t="str">
        <f t="shared" si="7"/>
        <v/>
      </c>
      <c r="N24" s="14" t="str">
        <f t="shared" si="8"/>
        <v/>
      </c>
      <c r="O24" s="24" t="str">
        <f>IF(M24="", "", CONCATENATE(M24, "    ",N24, "    # ", _xlfn.XLOOKUP(VALUE(M24),Data!$C$6:$C$123,Data!$A$6:$A$123,#N/A)))</f>
        <v/>
      </c>
    </row>
    <row r="25" spans="1:18" x14ac:dyDescent="0.25">
      <c r="A25" s="47"/>
      <c r="B25" s="32"/>
      <c r="C25" s="6" t="str">
        <f>IF(ISBLANK($A25), "", _xlfn.XLOOKUP($A25,Data!$B$6:$B$123,Data!$A$6:$A$123,#N/A))</f>
        <v/>
      </c>
      <c r="D25" s="6" t="str">
        <f>IF(ISBLANK($A25), "", _xlfn.XLOOKUP($A25,Data!$B$6:$B$123,Data!$C$6:$C$123,#N/A))</f>
        <v/>
      </c>
      <c r="E25" s="6" t="str">
        <f>IF(ISBLANK($A25), "", _xlfn.XLOOKUP($A25,Data!$B$6:$B$123,Data!$G$6:$G$123,#N/A))</f>
        <v/>
      </c>
      <c r="F25" s="37" t="str">
        <f t="shared" si="3"/>
        <v/>
      </c>
      <c r="G25" s="77"/>
      <c r="H25" s="6" t="str">
        <f t="shared" si="0"/>
        <v/>
      </c>
      <c r="I25" s="37" t="str">
        <f t="shared" si="4"/>
        <v/>
      </c>
      <c r="J25" s="80"/>
      <c r="K25" s="14"/>
      <c r="L25" s="14"/>
      <c r="M25" s="8" t="str">
        <f t="shared" si="1"/>
        <v/>
      </c>
      <c r="N25" s="14" t="str">
        <f t="shared" si="2"/>
        <v/>
      </c>
      <c r="O25" s="24" t="str">
        <f>IF(M25="", "", CONCATENATE(M25, "    ",N25, "    # ", _xlfn.XLOOKUP(VALUE(M25),Data!$C$6:$C$123,Data!$A$6:$A$123,#N/A)))</f>
        <v/>
      </c>
    </row>
    <row r="26" spans="1:18" x14ac:dyDescent="0.25">
      <c r="A26" s="47"/>
      <c r="B26" s="32"/>
      <c r="C26" s="6" t="str">
        <f>IF(ISBLANK($A26), "", _xlfn.XLOOKUP($A26,Data!$B$6:$B$123,Data!$A$6:$A$123,#N/A))</f>
        <v/>
      </c>
      <c r="D26" s="6" t="str">
        <f>IF(ISBLANK($A26), "", _xlfn.XLOOKUP($A26,Data!$B$6:$B$123,Data!$C$6:$C$123,#N/A))</f>
        <v/>
      </c>
      <c r="E26" s="6" t="str">
        <f>IF(ISBLANK($A26), "", _xlfn.XLOOKUP($A26,Data!$B$6:$B$123,Data!$G$6:$G$123,#N/A))</f>
        <v/>
      </c>
      <c r="F26" s="37" t="str">
        <f t="shared" si="3"/>
        <v/>
      </c>
      <c r="G26" s="77"/>
      <c r="H26" s="6" t="str">
        <f t="shared" si="0"/>
        <v/>
      </c>
      <c r="I26" s="37" t="str">
        <f t="shared" si="4"/>
        <v/>
      </c>
      <c r="J26" s="80"/>
      <c r="K26" s="14"/>
      <c r="L26" s="14"/>
      <c r="M26" s="8" t="str">
        <f t="shared" si="1"/>
        <v/>
      </c>
      <c r="N26" s="14" t="str">
        <f t="shared" si="2"/>
        <v/>
      </c>
      <c r="O26" s="24" t="str">
        <f>IF(M26="", "", CONCATENATE(M26, "    ",N26, "    # ", _xlfn.XLOOKUP(VALUE(M26),Data!$C$6:$C$123,Data!$A$6:$A$123,#N/A)))</f>
        <v/>
      </c>
    </row>
    <row r="27" spans="1:18" x14ac:dyDescent="0.25">
      <c r="A27" s="47"/>
      <c r="B27" s="32"/>
      <c r="C27" s="6" t="str">
        <f>IF(ISBLANK($A27), "", _xlfn.XLOOKUP($A27,Data!$B$6:$B$123,Data!$A$6:$A$123,#N/A))</f>
        <v/>
      </c>
      <c r="D27" s="6" t="str">
        <f>IF(ISBLANK($A27), "", _xlfn.XLOOKUP($A27,Data!$B$6:$B$123,Data!$C$6:$C$123,#N/A))</f>
        <v/>
      </c>
      <c r="E27" s="6" t="str">
        <f>IF(ISBLANK($A27), "", _xlfn.XLOOKUP($A27,Data!$B$6:$B$123,Data!$G$6:$G$123,#N/A))</f>
        <v/>
      </c>
      <c r="F27" s="37" t="str">
        <f t="shared" si="3"/>
        <v/>
      </c>
      <c r="G27" s="77"/>
      <c r="H27" s="6" t="str">
        <f t="shared" si="0"/>
        <v/>
      </c>
      <c r="I27" s="37" t="str">
        <f t="shared" si="4"/>
        <v/>
      </c>
      <c r="J27" s="80"/>
      <c r="K27" s="14"/>
      <c r="L27" s="14"/>
      <c r="M27" s="8" t="str">
        <f t="shared" si="1"/>
        <v/>
      </c>
      <c r="N27" s="14" t="str">
        <f t="shared" si="2"/>
        <v/>
      </c>
      <c r="O27" s="24" t="str">
        <f>IF(M27="", "", CONCATENATE(M27, "    ",N27, "    # ", _xlfn.XLOOKUP(VALUE(M27),Data!$C$6:$C$123,Data!$A$6:$A$123,#N/A)))</f>
        <v/>
      </c>
    </row>
    <row r="28" spans="1:18" x14ac:dyDescent="0.25">
      <c r="A28" s="47"/>
      <c r="B28" s="32"/>
      <c r="C28" s="6" t="str">
        <f>IF(ISBLANK($A28), "", _xlfn.XLOOKUP($A28,Data!$B$6:$B$123,Data!$A$6:$A$123,#N/A))</f>
        <v/>
      </c>
      <c r="D28" s="6" t="str">
        <f>IF(ISBLANK($A28), "", _xlfn.XLOOKUP($A28,Data!$B$6:$B$123,Data!$C$6:$C$123,#N/A))</f>
        <v/>
      </c>
      <c r="E28" s="6" t="str">
        <f>IF(ISBLANK($A28), "", _xlfn.XLOOKUP($A28,Data!$B$6:$B$123,Data!$G$6:$G$123,#N/A))</f>
        <v/>
      </c>
      <c r="F28" s="37" t="str">
        <f t="shared" si="3"/>
        <v/>
      </c>
      <c r="G28" s="77"/>
      <c r="H28" s="6" t="str">
        <f t="shared" si="0"/>
        <v/>
      </c>
      <c r="I28" s="37" t="str">
        <f t="shared" si="4"/>
        <v/>
      </c>
      <c r="J28" s="80"/>
      <c r="K28" s="14"/>
      <c r="L28" s="14"/>
      <c r="M28" s="8" t="str">
        <f t="shared" si="1"/>
        <v/>
      </c>
      <c r="N28" s="14" t="str">
        <f t="shared" si="2"/>
        <v/>
      </c>
      <c r="O28" s="24" t="str">
        <f>IF(M28="", "", CONCATENATE(M28, "    ",N28, "    # ", _xlfn.XLOOKUP(VALUE(M28),Data!$C$6:$C$123,Data!$A$6:$A$123,#N/A)))</f>
        <v/>
      </c>
    </row>
    <row r="29" spans="1:18" ht="15.75" thickBot="1" x14ac:dyDescent="0.3">
      <c r="A29" s="48"/>
      <c r="B29" s="33"/>
      <c r="C29" s="7" t="str">
        <f>IF(ISBLANK($A29), "", _xlfn.XLOOKUP($A29,Data!$B$6:$B$123,Data!$A$6:$A$123,#N/A))</f>
        <v/>
      </c>
      <c r="D29" s="7" t="str">
        <f>IF(ISBLANK($A29), "", _xlfn.XLOOKUP($A29,Data!$B$6:$B$123,Data!$C$6:$C$123,#N/A))</f>
        <v/>
      </c>
      <c r="E29" s="7" t="str">
        <f>IF(ISBLANK($A29), "", _xlfn.XLOOKUP($A29,Data!$B$6:$B$123,Data!$G$6:$G$123,#N/A))</f>
        <v/>
      </c>
      <c r="F29" s="38" t="str">
        <f t="shared" si="3"/>
        <v/>
      </c>
      <c r="G29" s="78"/>
      <c r="H29" s="7" t="str">
        <f t="shared" si="0"/>
        <v/>
      </c>
      <c r="I29" s="38" t="str">
        <f t="shared" si="4"/>
        <v/>
      </c>
      <c r="J29" s="81"/>
      <c r="K29" s="15"/>
      <c r="L29" s="15"/>
      <c r="M29" s="9" t="str">
        <f t="shared" si="1"/>
        <v/>
      </c>
      <c r="N29" s="15" t="str">
        <f t="shared" si="2"/>
        <v/>
      </c>
      <c r="O29" s="25" t="str">
        <f>IF(M29="", "", CONCATENATE(M29, "    ",N29, "    # ", _xlfn.XLOOKUP(VALUE(M29),Data!$C$6:$C$123,Data!$A$6:$A$123,#N/A)))</f>
        <v/>
      </c>
    </row>
    <row r="30" spans="1:18" ht="15" customHeight="1" x14ac:dyDescent="0.25">
      <c r="F30" s="89" t="s">
        <v>407</v>
      </c>
      <c r="M30" s="155" t="s">
        <v>436</v>
      </c>
      <c r="N30" s="172"/>
      <c r="O30" s="156"/>
      <c r="P30" s="3"/>
    </row>
    <row r="31" spans="1:18" ht="15.75" thickBot="1" x14ac:dyDescent="0.3">
      <c r="F31" s="90"/>
      <c r="M31" s="166" t="s">
        <v>469</v>
      </c>
      <c r="N31" s="157"/>
      <c r="O31" s="158"/>
      <c r="P31" s="3"/>
    </row>
    <row r="32" spans="1:18" ht="15.75" thickBot="1" x14ac:dyDescent="0.3">
      <c r="F32" s="90"/>
      <c r="M32" s="173">
        <v>20</v>
      </c>
      <c r="N32" s="157" t="s">
        <v>437</v>
      </c>
      <c r="O32" s="158"/>
      <c r="P32" s="53"/>
      <c r="Q32" s="53"/>
      <c r="R32" s="53"/>
    </row>
    <row r="33" spans="6:18" ht="15.75" thickBot="1" x14ac:dyDescent="0.3">
      <c r="F33" s="39">
        <f>SUM(F18:F29)</f>
        <v>18.015349999999998</v>
      </c>
      <c r="M33" s="166" t="s">
        <v>444</v>
      </c>
      <c r="N33" s="157"/>
      <c r="O33" s="158">
        <f>$N$43</f>
        <v>0.9981899999999998</v>
      </c>
      <c r="P33" s="53"/>
      <c r="Q33" s="53"/>
      <c r="R33" s="53"/>
    </row>
    <row r="34" spans="6:18" x14ac:dyDescent="0.25">
      <c r="F34" s="3"/>
      <c r="M34" s="166" t="s">
        <v>431</v>
      </c>
      <c r="N34" s="157"/>
      <c r="O34" s="158" t="s">
        <v>438</v>
      </c>
      <c r="P34" s="53"/>
      <c r="Q34" s="53"/>
      <c r="R34" s="53"/>
    </row>
    <row r="35" spans="6:18" x14ac:dyDescent="0.25">
      <c r="M35" s="166" t="s">
        <v>426</v>
      </c>
      <c r="N35" s="157"/>
      <c r="O35" s="159" t="str">
        <f xml:space="preserve"> _xlfn.CONCAT("water at ", $M$32, " deg C, with ", ROUND(100*$L$20, 6), "% iodine (", ROUND($N$44, 6), " ", $O$44, ")")</f>
        <v>water at 20 deg C, with 0% iodine (0 mg iodine/mL water-iodine solution)</v>
      </c>
      <c r="P35" s="53"/>
      <c r="Q35" s="53"/>
      <c r="R35" s="53"/>
    </row>
    <row r="36" spans="6:18" ht="15.75" thickBot="1" x14ac:dyDescent="0.3">
      <c r="M36" s="166" t="s">
        <v>432</v>
      </c>
      <c r="N36" s="157"/>
      <c r="O36" s="159" t="str">
        <f>CONCATENATE("modified water_",$M$32,"C")</f>
        <v>modified water_20C</v>
      </c>
    </row>
    <row r="37" spans="6:18" ht="15.75" thickBot="1" x14ac:dyDescent="0.3">
      <c r="M37" s="166" t="s">
        <v>461</v>
      </c>
      <c r="N37" s="157"/>
      <c r="O37" s="159"/>
      <c r="P37" s="161"/>
      <c r="Q37" s="168"/>
      <c r="R37" s="169" t="s">
        <v>447</v>
      </c>
    </row>
    <row r="38" spans="6:18" ht="15.75" thickBot="1" x14ac:dyDescent="0.3">
      <c r="M38" s="167" t="s">
        <v>454</v>
      </c>
      <c r="N38" s="160"/>
      <c r="O38" s="161"/>
      <c r="P38" s="53"/>
      <c r="Q38" s="163" t="s">
        <v>446</v>
      </c>
      <c r="R38" s="159" t="s">
        <v>448</v>
      </c>
    </row>
    <row r="39" spans="6:18" x14ac:dyDescent="0.25">
      <c r="M39" s="53"/>
      <c r="N39" s="162">
        <f>F33</f>
        <v>18.015349999999998</v>
      </c>
      <c r="O39" s="159" t="s">
        <v>449</v>
      </c>
      <c r="P39" s="53"/>
      <c r="Q39" s="170">
        <v>1</v>
      </c>
      <c r="R39" s="183">
        <v>1.4221740000000001E-4</v>
      </c>
    </row>
    <row r="40" spans="6:18" x14ac:dyDescent="0.25">
      <c r="M40" s="53"/>
      <c r="N40" s="162">
        <v>18.015350000000002</v>
      </c>
      <c r="O40" s="159" t="s">
        <v>445</v>
      </c>
      <c r="P40" s="53"/>
      <c r="Q40" s="170">
        <v>2</v>
      </c>
      <c r="R40" s="183">
        <v>2.8443469999999999E-4</v>
      </c>
    </row>
    <row r="41" spans="6:18" x14ac:dyDescent="0.25">
      <c r="M41" s="53"/>
      <c r="N41" s="162">
        <f>N39/N40</f>
        <v>0.99999999999999978</v>
      </c>
      <c r="O41" s="159" t="s">
        <v>453</v>
      </c>
      <c r="P41" s="53"/>
      <c r="Q41" s="170">
        <v>5</v>
      </c>
      <c r="R41" s="183">
        <v>7.1108680000000004E-4</v>
      </c>
    </row>
    <row r="42" spans="6:18" x14ac:dyDescent="0.25">
      <c r="M42" s="53"/>
      <c r="N42" s="162">
        <f>IF($M$32 = 0, 0.99989, IF($M$32 = 20, 0.99819, IF($M$32 = 37, 0.99336)))</f>
        <v>0.99819000000000002</v>
      </c>
      <c r="O42" s="159" t="s">
        <v>439</v>
      </c>
      <c r="P42" s="53"/>
      <c r="Q42" s="170">
        <v>10</v>
      </c>
      <c r="R42" s="183">
        <v>1.4221735000000001E-3</v>
      </c>
    </row>
    <row r="43" spans="6:18" x14ac:dyDescent="0.25">
      <c r="M43" s="53"/>
      <c r="N43" s="162">
        <f>N41*N42</f>
        <v>0.9981899999999998</v>
      </c>
      <c r="O43" s="159" t="s">
        <v>442</v>
      </c>
      <c r="P43" s="53"/>
      <c r="Q43" s="170">
        <v>15</v>
      </c>
      <c r="R43" s="183">
        <v>2.1332602000000002E-3</v>
      </c>
    </row>
    <row r="44" spans="6:18" ht="15.75" thickBot="1" x14ac:dyDescent="0.3">
      <c r="N44" s="182">
        <f>1000*(N43-N42)</f>
        <v>-2.2204460492503131E-13</v>
      </c>
      <c r="O44" s="165" t="s">
        <v>440</v>
      </c>
      <c r="P44" s="53"/>
      <c r="Q44" s="170">
        <v>20</v>
      </c>
      <c r="R44" s="183">
        <v>2.8443469000000001E-3</v>
      </c>
    </row>
    <row r="45" spans="6:18" x14ac:dyDescent="0.25">
      <c r="M45" s="185" t="s">
        <v>456</v>
      </c>
      <c r="N45" s="186"/>
      <c r="O45" s="187"/>
      <c r="P45" s="53"/>
      <c r="Q45" s="170">
        <v>30</v>
      </c>
      <c r="R45" s="183">
        <v>4.2665204000000003E-3</v>
      </c>
    </row>
    <row r="46" spans="6:18" ht="15.75" thickBot="1" x14ac:dyDescent="0.3">
      <c r="M46" s="188" t="s">
        <v>469</v>
      </c>
      <c r="N46" s="189"/>
      <c r="O46" s="190"/>
      <c r="P46" s="53"/>
      <c r="Q46" s="170">
        <v>40</v>
      </c>
      <c r="R46" s="183">
        <v>5.6886938000000001E-3</v>
      </c>
    </row>
    <row r="47" spans="6:18" ht="15.75" thickBot="1" x14ac:dyDescent="0.3">
      <c r="M47" s="173">
        <v>37</v>
      </c>
      <c r="N47" s="189" t="s">
        <v>437</v>
      </c>
      <c r="O47" s="190"/>
      <c r="P47" s="53"/>
      <c r="Q47" s="170">
        <v>50</v>
      </c>
      <c r="R47" s="183">
        <v>7.1108673000000004E-3</v>
      </c>
    </row>
    <row r="48" spans="6:18" ht="15.75" thickBot="1" x14ac:dyDescent="0.3">
      <c r="M48" s="188" t="s">
        <v>444</v>
      </c>
      <c r="N48" s="189"/>
      <c r="O48" s="190">
        <f>$N$58</f>
        <v>0.9933599999999998</v>
      </c>
      <c r="P48" s="53"/>
      <c r="Q48" s="164">
        <v>100</v>
      </c>
      <c r="R48" s="184">
        <v>1.4221734600000001E-2</v>
      </c>
    </row>
    <row r="49" spans="13:18" x14ac:dyDescent="0.25">
      <c r="M49" s="188" t="s">
        <v>431</v>
      </c>
      <c r="N49" s="189"/>
      <c r="O49" s="190" t="s">
        <v>438</v>
      </c>
      <c r="P49" s="53"/>
    </row>
    <row r="50" spans="13:18" x14ac:dyDescent="0.25">
      <c r="M50" s="188" t="s">
        <v>426</v>
      </c>
      <c r="N50" s="189"/>
      <c r="O50" s="191" t="str">
        <f xml:space="preserve"> _xlfn.CONCAT("water at ", $M$32, " deg C, with ", ROUND($N$59, 6), $O$59, " (", ROUND(100*(N56-N57), 6), "  mg/mL NaCl)")</f>
        <v>water at 20 deg C, with 0% NaCl in water-NaCl solution (0.664  mg/mL NaCl)</v>
      </c>
      <c r="P50" s="53"/>
      <c r="Q50" s="53"/>
      <c r="R50" s="53"/>
    </row>
    <row r="51" spans="13:18" x14ac:dyDescent="0.25">
      <c r="M51" s="188" t="s">
        <v>432</v>
      </c>
      <c r="N51" s="189"/>
      <c r="O51" s="191" t="str">
        <f>CONCATENATE("modified water_",$M$32,"C")</f>
        <v>modified water_20C</v>
      </c>
      <c r="P51" s="53"/>
      <c r="Q51" s="53"/>
      <c r="R51" s="53"/>
    </row>
    <row r="52" spans="13:18" ht="15.75" thickBot="1" x14ac:dyDescent="0.3">
      <c r="M52" s="188" t="s">
        <v>462</v>
      </c>
      <c r="N52" s="189"/>
      <c r="O52" s="191"/>
      <c r="P52" s="53"/>
    </row>
    <row r="53" spans="13:18" ht="15.75" thickBot="1" x14ac:dyDescent="0.3">
      <c r="M53" s="192" t="s">
        <v>463</v>
      </c>
      <c r="N53" s="193"/>
      <c r="O53" s="194"/>
      <c r="P53" s="194"/>
      <c r="Q53" s="198"/>
      <c r="R53" s="199" t="s">
        <v>447</v>
      </c>
    </row>
    <row r="54" spans="13:18" x14ac:dyDescent="0.25">
      <c r="M54" s="53"/>
      <c r="N54" s="195">
        <f>F33</f>
        <v>18.015349999999998</v>
      </c>
      <c r="O54" s="191" t="s">
        <v>457</v>
      </c>
      <c r="P54" s="53"/>
      <c r="Q54" s="200" t="s">
        <v>464</v>
      </c>
      <c r="R54" s="191" t="s">
        <v>465</v>
      </c>
    </row>
    <row r="55" spans="13:18" ht="15.75" thickBot="1" x14ac:dyDescent="0.3">
      <c r="M55" s="53"/>
      <c r="N55" s="195">
        <v>18.015350000000002</v>
      </c>
      <c r="O55" s="191" t="s">
        <v>445</v>
      </c>
      <c r="P55" s="53"/>
      <c r="Q55" s="201">
        <v>0.9</v>
      </c>
      <c r="R55" s="202">
        <v>2.7995749999999999E-3</v>
      </c>
    </row>
    <row r="56" spans="13:18" x14ac:dyDescent="0.25">
      <c r="M56" s="53"/>
      <c r="N56" s="195">
        <f>N54/N55</f>
        <v>0.99999999999999978</v>
      </c>
      <c r="O56" s="191" t="s">
        <v>458</v>
      </c>
      <c r="P56" s="53"/>
    </row>
    <row r="57" spans="13:18" x14ac:dyDescent="0.25">
      <c r="M57" s="53"/>
      <c r="N57" s="195">
        <f>IF($M$47 = 0, 0.99989, IF($M$47 = 20, 0.99819, IF($M$47 = 37, 0.99336)))</f>
        <v>0.99336000000000002</v>
      </c>
      <c r="O57" s="191" t="s">
        <v>439</v>
      </c>
      <c r="P57" s="53"/>
    </row>
    <row r="58" spans="13:18" x14ac:dyDescent="0.25">
      <c r="M58" s="53"/>
      <c r="N58" s="195">
        <f>N56*N57</f>
        <v>0.9933599999999998</v>
      </c>
      <c r="O58" s="191" t="s">
        <v>459</v>
      </c>
      <c r="P58" s="53"/>
    </row>
    <row r="59" spans="13:18" ht="15.75" thickBot="1" x14ac:dyDescent="0.3">
      <c r="N59" s="196">
        <f>100*(L20+L21)</f>
        <v>0</v>
      </c>
      <c r="O59" s="197" t="s">
        <v>460</v>
      </c>
      <c r="P59" s="53"/>
    </row>
    <row r="60" spans="13:18" x14ac:dyDescent="0.25">
      <c r="O60" s="53"/>
      <c r="P60" s="53"/>
    </row>
    <row r="61" spans="13:18" x14ac:dyDescent="0.25">
      <c r="O61" s="53"/>
      <c r="P61" s="53"/>
    </row>
    <row r="62" spans="13:18" x14ac:dyDescent="0.25">
      <c r="O62" s="53"/>
      <c r="P62" s="53"/>
    </row>
    <row r="63" spans="13:18" x14ac:dyDescent="0.25">
      <c r="O63" s="53"/>
      <c r="P63" s="53"/>
    </row>
    <row r="64" spans="13:18" x14ac:dyDescent="0.25">
      <c r="O64" s="53"/>
      <c r="P64" s="53"/>
    </row>
  </sheetData>
  <sheetProtection sheet="1" objects="1" scenarios="1"/>
  <mergeCells count="33">
    <mergeCell ref="F1:N1"/>
    <mergeCell ref="A1:E1"/>
    <mergeCell ref="B14:B17"/>
    <mergeCell ref="F30:F32"/>
    <mergeCell ref="A2:N2"/>
    <mergeCell ref="A7:F7"/>
    <mergeCell ref="A5:K5"/>
    <mergeCell ref="A12:B13"/>
    <mergeCell ref="K12:L13"/>
    <mergeCell ref="M12:N13"/>
    <mergeCell ref="G7:N7"/>
    <mergeCell ref="A8:E8"/>
    <mergeCell ref="F8:N8"/>
    <mergeCell ref="D12:D17"/>
    <mergeCell ref="E12:E17"/>
    <mergeCell ref="F12:F17"/>
    <mergeCell ref="I12:I17"/>
    <mergeCell ref="H12:H17"/>
    <mergeCell ref="A3:N3"/>
    <mergeCell ref="A6:C6"/>
    <mergeCell ref="D6:N6"/>
    <mergeCell ref="K14:K17"/>
    <mergeCell ref="L14:L17"/>
    <mergeCell ref="M14:M17"/>
    <mergeCell ref="N14:N17"/>
    <mergeCell ref="A11:N11"/>
    <mergeCell ref="E9:N9"/>
    <mergeCell ref="A4:N4"/>
    <mergeCell ref="G12:G29"/>
    <mergeCell ref="J12:J29"/>
    <mergeCell ref="A14:A17"/>
    <mergeCell ref="A10:N10"/>
    <mergeCell ref="C12:C17"/>
  </mergeCells>
  <dataValidations count="1">
    <dataValidation type="list" allowBlank="1" showInputMessage="1" showErrorMessage="1" sqref="M32 M47" xr:uid="{36745EB9-6DFC-4A18-A2B7-FAB74AA8976B}">
      <formula1>"0, 20, 37"</formula1>
    </dataValidation>
  </dataValidations>
  <hyperlinks>
    <hyperlink ref="D6" r:id="rId1" xr:uid="{518487AD-EE45-406A-877C-02B0625CF94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T58"/>
  <sheetViews>
    <sheetView zoomScale="90" zoomScaleNormal="90" workbookViewId="0">
      <selection activeCell="G25" sqref="G25"/>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65" t="s">
        <v>405</v>
      </c>
      <c r="B1" s="66"/>
      <c r="C1" s="66"/>
      <c r="D1" s="66"/>
      <c r="E1" s="66"/>
      <c r="F1" s="66"/>
      <c r="G1" s="66"/>
      <c r="H1" s="66"/>
      <c r="I1" s="67"/>
      <c r="J1" s="203" t="s">
        <v>467</v>
      </c>
      <c r="K1" s="204"/>
      <c r="L1" s="204"/>
      <c r="M1" s="204"/>
      <c r="N1" s="204"/>
      <c r="O1" s="204"/>
      <c r="P1" s="205"/>
      <c r="Q1" s="28" t="s">
        <v>257</v>
      </c>
    </row>
    <row r="2" spans="1:17" ht="15" customHeight="1" x14ac:dyDescent="0.25">
      <c r="A2" s="115" t="s">
        <v>400</v>
      </c>
      <c r="B2" s="63"/>
      <c r="C2" s="63"/>
      <c r="D2" s="63"/>
      <c r="E2" s="63"/>
      <c r="F2" s="63"/>
      <c r="G2" s="63"/>
      <c r="H2" s="63"/>
      <c r="I2" s="63"/>
      <c r="J2" s="63"/>
      <c r="K2" s="63"/>
      <c r="L2" s="63"/>
      <c r="M2" s="63"/>
      <c r="N2" s="63"/>
      <c r="O2" s="63"/>
      <c r="P2" s="63"/>
      <c r="Q2" s="11" t="s">
        <v>416</v>
      </c>
    </row>
    <row r="3" spans="1:17" ht="15" customHeight="1" x14ac:dyDescent="0.25">
      <c r="A3" s="115" t="s">
        <v>408</v>
      </c>
      <c r="B3" s="63"/>
      <c r="C3" s="63"/>
      <c r="D3" s="63"/>
      <c r="E3" s="63"/>
      <c r="F3" s="63"/>
      <c r="G3" s="63"/>
      <c r="H3" s="63"/>
      <c r="I3" s="63"/>
      <c r="J3" s="63"/>
      <c r="K3" s="63"/>
      <c r="L3" s="63"/>
      <c r="M3" s="63"/>
      <c r="N3" s="63"/>
      <c r="O3" s="63"/>
      <c r="P3" s="63"/>
      <c r="Q3" s="12" t="str">
        <f>CONCATENATE("# Made with ",Instructions!A$1, " ",Instructions!B$1, ".")</f>
        <v># Made with CatSim material calculator, version 1.1.</v>
      </c>
    </row>
    <row r="4" spans="1:17" ht="15" customHeight="1" thickBot="1" x14ac:dyDescent="0.3">
      <c r="A4" s="64" t="s">
        <v>409</v>
      </c>
      <c r="B4" s="64"/>
      <c r="C4" s="64"/>
      <c r="D4" s="64"/>
      <c r="E4" s="64"/>
      <c r="F4" s="64"/>
      <c r="G4" s="64"/>
      <c r="H4" s="64"/>
      <c r="I4" s="64"/>
      <c r="J4" s="64"/>
      <c r="K4" s="64"/>
      <c r="L4" s="64"/>
      <c r="M4" s="64"/>
      <c r="N4" s="64"/>
      <c r="O4" s="64"/>
      <c r="P4" s="64"/>
      <c r="Q4" s="23" t="str">
        <f>IF(Q12&lt;&gt;"1", CONCATENATE("# Molecular weights from ", Data!$I$1, "."), "")</f>
        <v># Molecular weights from https://www.nist.gov/pml/atomic-weights-and-isotopic-compositions-relative-atomic-masses.</v>
      </c>
    </row>
    <row r="5" spans="1:17" ht="15" customHeight="1" thickBot="1" x14ac:dyDescent="0.3">
      <c r="A5" s="74" t="s">
        <v>411</v>
      </c>
      <c r="B5" s="64"/>
      <c r="C5" s="64"/>
      <c r="D5" s="64"/>
      <c r="E5" s="64"/>
      <c r="F5" s="64"/>
      <c r="G5" s="64"/>
      <c r="H5" s="64"/>
      <c r="I5" s="64"/>
      <c r="J5" s="75"/>
      <c r="K5" s="52">
        <v>1</v>
      </c>
      <c r="L5" s="174" t="s">
        <v>264</v>
      </c>
      <c r="M5" s="175"/>
      <c r="N5" s="175"/>
      <c r="O5" s="175"/>
      <c r="P5" s="175"/>
      <c r="Q5" s="23" t="str">
        <f>IF(AND($Q$12="1",ISBLANK($K$5),ISBLANK($D$6)),CONCATENATE("# Density from ", Data!$S$1, "."), IF(ISBLANK($D$6),"# Density source not specified.",_xlfn.CONCAT("# Density source: ",$D$6)))</f>
        <v># Density source: https://physics.nist.gov/PhysRefData/XrayMassCoef/tab2.html</v>
      </c>
    </row>
    <row r="6" spans="1:17" ht="15" customHeight="1" thickBot="1" x14ac:dyDescent="0.3">
      <c r="A6" s="44" t="s">
        <v>412</v>
      </c>
      <c r="B6" s="13"/>
      <c r="C6" s="13"/>
      <c r="D6" s="179" t="s">
        <v>418</v>
      </c>
      <c r="E6" s="180"/>
      <c r="F6" s="180"/>
      <c r="G6" s="180"/>
      <c r="H6" s="180"/>
      <c r="I6" s="180"/>
      <c r="J6" s="180"/>
      <c r="K6" s="180"/>
      <c r="L6" s="180"/>
      <c r="M6" s="180"/>
      <c r="N6" s="180"/>
      <c r="O6" s="180"/>
      <c r="P6" s="181"/>
      <c r="Q6" s="23" t="str">
        <f>IF(ISBLANK($F$8),IF($Q$12=1,"","# Material composition source not specified."),CONCATENATE("# Material composition source: ",$F$8))</f>
        <v># Material composition source: L18-L19 on "Enter a formula" sheet</v>
      </c>
    </row>
    <row r="7" spans="1:17" ht="15" customHeight="1" thickBot="1" x14ac:dyDescent="0.3">
      <c r="A7" s="44" t="s">
        <v>377</v>
      </c>
      <c r="B7" s="13"/>
      <c r="C7" s="13"/>
      <c r="D7" s="13"/>
      <c r="E7" s="13"/>
      <c r="F7" s="13"/>
      <c r="G7" s="176" t="s">
        <v>417</v>
      </c>
      <c r="H7" s="177"/>
      <c r="I7" s="177"/>
      <c r="J7" s="177"/>
      <c r="K7" s="177"/>
      <c r="L7" s="177"/>
      <c r="M7" s="177"/>
      <c r="N7" s="177"/>
      <c r="O7" s="177"/>
      <c r="P7" s="177"/>
      <c r="Q7" s="24"/>
    </row>
    <row r="8" spans="1:17" ht="15.75" customHeight="1" thickBot="1" x14ac:dyDescent="0.3">
      <c r="A8" s="44" t="s">
        <v>378</v>
      </c>
      <c r="B8" s="13"/>
      <c r="C8" s="13"/>
      <c r="D8" s="13"/>
      <c r="E8" s="13"/>
      <c r="F8" s="101" t="s">
        <v>468</v>
      </c>
      <c r="G8" s="102"/>
      <c r="H8" s="102"/>
      <c r="I8" s="102"/>
      <c r="J8" s="102"/>
      <c r="K8" s="102"/>
      <c r="L8" s="102"/>
      <c r="M8" s="102"/>
      <c r="N8" s="102"/>
      <c r="O8" s="102"/>
      <c r="P8" s="102"/>
      <c r="Q8" s="23" t="str">
        <f>IF($Q$12="1","# Elemental material: ", "# Material name:")</f>
        <v># Material name:</v>
      </c>
    </row>
    <row r="9" spans="1:17" ht="15.75" customHeight="1" thickBot="1" x14ac:dyDescent="0.3">
      <c r="A9" s="44" t="s">
        <v>398</v>
      </c>
      <c r="B9" s="13"/>
      <c r="C9" s="13"/>
      <c r="D9" s="13"/>
      <c r="E9" s="46">
        <v>6</v>
      </c>
      <c r="F9" s="117" t="s">
        <v>397</v>
      </c>
      <c r="G9" s="118"/>
      <c r="H9" s="118"/>
      <c r="I9" s="118"/>
      <c r="J9" s="118"/>
      <c r="K9" s="118"/>
      <c r="L9" s="118"/>
      <c r="M9" s="118"/>
      <c r="N9" s="118"/>
      <c r="O9" s="118"/>
      <c r="P9" s="118"/>
      <c r="Q9" s="23" t="str">
        <f>IF($Q$12="1", IF(ISBLANK($G$7),_xlfn.CONCAT("# ",$F$18, " (", $C$18,")"), _xlfn.CONCAT("# ", $G$7)), IF(ISBLANK($G$7),"# not specified", _xlfn.CONCAT("# ", $G$7)))</f>
        <v># water</v>
      </c>
    </row>
    <row r="10" spans="1:17" ht="15" customHeight="1" x14ac:dyDescent="0.25">
      <c r="A10" s="115" t="s">
        <v>379</v>
      </c>
      <c r="B10" s="63"/>
      <c r="C10" s="63"/>
      <c r="D10" s="63"/>
      <c r="E10" s="63"/>
      <c r="F10" s="63"/>
      <c r="G10" s="63"/>
      <c r="H10" s="63"/>
      <c r="I10" s="63"/>
      <c r="J10" s="63"/>
      <c r="K10" s="63"/>
      <c r="L10" s="63"/>
      <c r="M10" s="63"/>
      <c r="N10" s="63"/>
      <c r="O10" s="63"/>
      <c r="P10" s="63"/>
      <c r="Q10" s="24"/>
    </row>
    <row r="11" spans="1:17" ht="15" customHeight="1" thickBot="1" x14ac:dyDescent="0.3">
      <c r="A11" s="74" t="s">
        <v>265</v>
      </c>
      <c r="B11" s="64"/>
      <c r="C11" s="64"/>
      <c r="D11" s="64"/>
      <c r="E11" s="64"/>
      <c r="F11" s="64"/>
      <c r="G11" s="64"/>
      <c r="H11" s="64"/>
      <c r="I11" s="64"/>
      <c r="J11" s="64"/>
      <c r="K11" s="64"/>
      <c r="L11" s="64"/>
      <c r="M11" s="64"/>
      <c r="N11" s="64"/>
      <c r="O11" s="64"/>
      <c r="P11" s="64"/>
      <c r="Q11" s="24" t="s">
        <v>385</v>
      </c>
    </row>
    <row r="12" spans="1:17" ht="15" customHeight="1" x14ac:dyDescent="0.25">
      <c r="A12" s="91" t="s">
        <v>399</v>
      </c>
      <c r="B12" s="92"/>
      <c r="C12" s="116" t="s">
        <v>263</v>
      </c>
      <c r="D12" s="104" t="s">
        <v>395</v>
      </c>
      <c r="E12" s="110" t="s">
        <v>396</v>
      </c>
      <c r="F12" s="84" t="s">
        <v>256</v>
      </c>
      <c r="G12" s="104" t="s">
        <v>259</v>
      </c>
      <c r="H12" s="104" t="s">
        <v>402</v>
      </c>
      <c r="I12" s="104" t="s">
        <v>258</v>
      </c>
      <c r="J12" s="104" t="s">
        <v>427</v>
      </c>
      <c r="K12" s="104" t="s">
        <v>390</v>
      </c>
      <c r="L12" s="79"/>
      <c r="M12" s="111" t="s">
        <v>404</v>
      </c>
      <c r="N12" s="112"/>
      <c r="O12" s="99" t="s">
        <v>261</v>
      </c>
      <c r="P12" s="95"/>
      <c r="Q12" s="23" t="str">
        <f>IF(COUNTA(A18:A29)&lt;&gt;COUNTA(B18:B29),"Error! Different number of entries for Atomic number and Mass fraction.", _xlfn.VALUETOTEXT(COUNTA(B18:B29)))</f>
        <v>2</v>
      </c>
    </row>
    <row r="13" spans="1:17" ht="15" customHeight="1" thickBot="1" x14ac:dyDescent="0.3">
      <c r="A13" s="93"/>
      <c r="B13" s="94"/>
      <c r="C13" s="82"/>
      <c r="D13" s="105"/>
      <c r="E13" s="87"/>
      <c r="F13" s="85"/>
      <c r="G13" s="105"/>
      <c r="H13" s="105"/>
      <c r="I13" s="105"/>
      <c r="J13" s="105"/>
      <c r="K13" s="105"/>
      <c r="L13" s="80"/>
      <c r="M13" s="113"/>
      <c r="N13" s="114"/>
      <c r="O13" s="100"/>
      <c r="P13" s="97"/>
      <c r="Q13" s="24"/>
    </row>
    <row r="14" spans="1:17" ht="15" customHeight="1" x14ac:dyDescent="0.25">
      <c r="A14" s="107" t="s">
        <v>259</v>
      </c>
      <c r="B14" s="110" t="s">
        <v>389</v>
      </c>
      <c r="C14" s="82"/>
      <c r="D14" s="105"/>
      <c r="E14" s="87"/>
      <c r="F14" s="85"/>
      <c r="G14" s="105"/>
      <c r="H14" s="105"/>
      <c r="I14" s="105"/>
      <c r="J14" s="105"/>
      <c r="K14" s="105"/>
      <c r="L14" s="80"/>
      <c r="M14" s="68" t="s">
        <v>259</v>
      </c>
      <c r="N14" s="70" t="s">
        <v>389</v>
      </c>
      <c r="O14" s="72" t="s">
        <v>259</v>
      </c>
      <c r="P14" s="68" t="s">
        <v>389</v>
      </c>
      <c r="Q14" s="24" t="str">
        <f>CONCATENATE("# Density:")</f>
        <v># Density:</v>
      </c>
    </row>
    <row r="15" spans="1:17" ht="15" customHeight="1" x14ac:dyDescent="0.25">
      <c r="A15" s="108"/>
      <c r="B15" s="87"/>
      <c r="C15" s="82"/>
      <c r="D15" s="105"/>
      <c r="E15" s="87"/>
      <c r="F15" s="85"/>
      <c r="G15" s="105"/>
      <c r="H15" s="105"/>
      <c r="I15" s="105"/>
      <c r="J15" s="105"/>
      <c r="K15" s="105"/>
      <c r="L15" s="80"/>
      <c r="M15" s="68"/>
      <c r="N15" s="70"/>
      <c r="O15" s="72"/>
      <c r="P15" s="68"/>
      <c r="Q15" s="24" t="str">
        <f>IF($Q$12="1", IF(ISBLANK($K$5),FIXED(_xlfn.XLOOKUP($C18,Data!$T$6:$T$123,Data!$V$6:$V$123,#N/A),$E$9),FIXED($K$5,$E$9)),IF(ISBLANK($K$5),"Error! Density value not specified!",FIXED($K$5,$E$9)))</f>
        <v>1.000000</v>
      </c>
    </row>
    <row r="16" spans="1:17" ht="15" customHeight="1" x14ac:dyDescent="0.25">
      <c r="A16" s="108"/>
      <c r="B16" s="87"/>
      <c r="C16" s="82"/>
      <c r="D16" s="105"/>
      <c r="E16" s="87"/>
      <c r="F16" s="85"/>
      <c r="G16" s="105"/>
      <c r="H16" s="105"/>
      <c r="I16" s="105"/>
      <c r="J16" s="105"/>
      <c r="K16" s="105"/>
      <c r="L16" s="80"/>
      <c r="M16" s="68"/>
      <c r="N16" s="70"/>
      <c r="O16" s="72"/>
      <c r="P16" s="68"/>
      <c r="Q16" s="24"/>
    </row>
    <row r="17" spans="1:17" ht="15" customHeight="1" x14ac:dyDescent="0.25">
      <c r="A17" s="109"/>
      <c r="B17" s="88"/>
      <c r="C17" s="83"/>
      <c r="D17" s="106"/>
      <c r="E17" s="88"/>
      <c r="F17" s="86"/>
      <c r="G17" s="106"/>
      <c r="H17" s="106"/>
      <c r="I17" s="106"/>
      <c r="J17" s="106"/>
      <c r="K17" s="106"/>
      <c r="L17" s="80"/>
      <c r="M17" s="69"/>
      <c r="N17" s="71"/>
      <c r="O17" s="73"/>
      <c r="P17" s="69"/>
      <c r="Q17" s="24" t="s">
        <v>386</v>
      </c>
    </row>
    <row r="18" spans="1:17" ht="15" customHeight="1" x14ac:dyDescent="0.25">
      <c r="A18" s="47">
        <v>1</v>
      </c>
      <c r="B18" s="147">
        <v>0.11190179485827366</v>
      </c>
      <c r="C18" s="34" t="str">
        <f>IF($G18="", "", _xlfn.XLOOKUP($G18,Data!$C$6:$C$123,Data!$B$6:$B$123,#N/A))</f>
        <v>H</v>
      </c>
      <c r="D18" s="43">
        <f>IF(E18= "","",E18/$E$33)</f>
        <v>0.66666666666666663</v>
      </c>
      <c r="E18" s="141">
        <f>IF(C18="", "", K18/$K$34)</f>
        <v>2</v>
      </c>
      <c r="F18" s="6" t="str">
        <f>IF($G18="", "", _xlfn.XLOOKUP($G18,Data!$C$6:$C$123,Data!$A$6:$A$123,#N/A))</f>
        <v>hydrogen</v>
      </c>
      <c r="G18" s="6">
        <f t="shared" ref="G18:G29" si="0">IF(ISBLANK(A18), "", A18)</f>
        <v>1</v>
      </c>
      <c r="H18" s="6">
        <f>IF($C18="", "", B18/$B$33)</f>
        <v>0.11190179485827366</v>
      </c>
      <c r="I18" s="140">
        <f>IF($C18="", "", _xlfn.XLOOKUP($C18,Data!$B$6:$B$123,Data!$G$6:$G$123,#N/A))</f>
        <v>1.0079750000000001</v>
      </c>
      <c r="J18" s="139">
        <f>IF(ISBLANK($B18), "",E18*I18)</f>
        <v>2.0159500000000001</v>
      </c>
      <c r="K18" s="37">
        <f>IF(ISBLANK($B18), "",H18/ I18)</f>
        <v>0.11101643875916928</v>
      </c>
      <c r="L18" s="80"/>
      <c r="M18" s="14" cm="1">
        <f t="array" ref="M18:N19">_xlfn._xlws.SORT(G18:INDEX(G18:H29,Q12,2),1,1,FALSE)</f>
        <v>1</v>
      </c>
      <c r="N18" s="14">
        <v>0.11190179485827366</v>
      </c>
      <c r="O18" s="8" t="str">
        <f>_xlfn.VALUETOTEXT(M18)</f>
        <v>1</v>
      </c>
      <c r="P18" s="14" t="str">
        <f>IF(O18="", "", FIXED(N18,$E$9))</f>
        <v>0.111902</v>
      </c>
      <c r="Q18" s="24" t="str">
        <f>IF(O18="", "", CONCATENATE(O18, "    ",P18, "    # ", _xlfn.XLOOKUP(VALUE(O18),Data!$C$6:$C$123,Data!$A$6:$A$123,#N/A)))</f>
        <v>1    0.111902    # hydrogen</v>
      </c>
    </row>
    <row r="19" spans="1:17" ht="15" customHeight="1" x14ac:dyDescent="0.25">
      <c r="A19" s="47">
        <v>8</v>
      </c>
      <c r="B19" s="147">
        <v>0.88809820514172644</v>
      </c>
      <c r="C19" s="34" t="str">
        <f>IF($G19="", "", _xlfn.XLOOKUP($G19,Data!$C$6:$C$123,Data!$B$6:$B$123,#N/A))</f>
        <v>O</v>
      </c>
      <c r="D19" s="43">
        <f>IF(E19= "","",E19/$E$33)</f>
        <v>0.33333333333333331</v>
      </c>
      <c r="E19" s="141">
        <f>IF(C19="", "", K19/$K$34)</f>
        <v>1</v>
      </c>
      <c r="F19" s="6" t="str">
        <f>IF($G19="", "", _xlfn.XLOOKUP($G19,Data!$C$6:$C$123,Data!$A$6:$A$123,#N/A))</f>
        <v>oxygen</v>
      </c>
      <c r="G19" s="6">
        <f t="shared" si="0"/>
        <v>8</v>
      </c>
      <c r="H19" s="6">
        <f>IF($C19="", "", B19/$B$33)</f>
        <v>0.88809820514172644</v>
      </c>
      <c r="I19" s="140">
        <f>IF($C19="", "", _xlfn.XLOOKUP($C19,Data!$B$6:$B$123,Data!$G$6:$G$123,#N/A))</f>
        <v>15.9994</v>
      </c>
      <c r="J19" s="139">
        <f t="shared" ref="J19:J28" si="1">IF(ISBLANK($B19), "",E19*I19)</f>
        <v>15.9994</v>
      </c>
      <c r="K19" s="37">
        <f t="shared" ref="K19:K29" si="2">IF(ISBLANK($B19), "",H19/ I19)</f>
        <v>5.5508219379584639E-2</v>
      </c>
      <c r="L19" s="80"/>
      <c r="M19" s="14">
        <v>8</v>
      </c>
      <c r="N19" s="14">
        <v>0.88809820514172644</v>
      </c>
      <c r="O19" s="8" t="str">
        <f t="shared" ref="O19:O29" si="3">_xlfn.VALUETOTEXT(M19)</f>
        <v>8</v>
      </c>
      <c r="P19" s="14" t="str">
        <f t="shared" ref="P19:P29" si="4">IF(O19="", "", FIXED(N19,$E$9))</f>
        <v>0.888098</v>
      </c>
      <c r="Q19" s="24" t="str">
        <f>IF(O19="", "", CONCATENATE(O19, "    ",P19, "    # ", _xlfn.XLOOKUP(VALUE(O19),Data!$C$6:$C$123,Data!$A$6:$A$123,#N/A)))</f>
        <v>8    0.888098    # oxygen</v>
      </c>
    </row>
    <row r="20" spans="1:17" ht="15" customHeight="1" x14ac:dyDescent="0.25">
      <c r="A20" s="47"/>
      <c r="B20" s="147"/>
      <c r="C20" s="34" t="str">
        <f>IF($G20="", "", _xlfn.XLOOKUP($G20,Data!$C$6:$C$123,Data!$B$6:$B$123,#N/A))</f>
        <v/>
      </c>
      <c r="D20" s="43" t="str">
        <f>IF(E20= "","",E20/$E$33)</f>
        <v/>
      </c>
      <c r="E20" s="141" t="str">
        <f>IF(C20="", "", K20/$K$34)</f>
        <v/>
      </c>
      <c r="F20" s="6" t="str">
        <f>IF($G20="", "", _xlfn.XLOOKUP($G20,Data!$C$6:$C$123,Data!$A$6:$A$123,#N/A))</f>
        <v/>
      </c>
      <c r="G20" s="6" t="str">
        <f t="shared" si="0"/>
        <v/>
      </c>
      <c r="H20" s="6" t="str">
        <f>IF($C20="", "", B20/$B$33)</f>
        <v/>
      </c>
      <c r="I20" s="140" t="str">
        <f>IF($C20="", "", _xlfn.XLOOKUP($C20,Data!$B$6:$B$123,Data!$G$6:$G$123,#N/A))</f>
        <v/>
      </c>
      <c r="J20" s="139" t="str">
        <f t="shared" si="1"/>
        <v/>
      </c>
      <c r="K20" s="37" t="str">
        <f t="shared" si="2"/>
        <v/>
      </c>
      <c r="L20" s="80"/>
      <c r="M20" s="14"/>
      <c r="N20" s="14"/>
      <c r="O20" s="8" t="str">
        <f t="shared" si="3"/>
        <v/>
      </c>
      <c r="P20" s="14" t="str">
        <f t="shared" si="4"/>
        <v/>
      </c>
      <c r="Q20" s="24" t="str">
        <f>IF(O20="", "", CONCATENATE(O20, "    ",P20, "    # ", _xlfn.XLOOKUP(VALUE(O20),Data!$C$6:$C$123,Data!$A$6:$A$123,#N/A)))</f>
        <v/>
      </c>
    </row>
    <row r="21" spans="1:17" x14ac:dyDescent="0.25">
      <c r="A21" s="47"/>
      <c r="B21" s="147"/>
      <c r="C21" s="34" t="str">
        <f>IF($G21="", "", _xlfn.XLOOKUP($G21,Data!$C$6:$C$123,Data!$B$6:$B$123,#N/A))</f>
        <v/>
      </c>
      <c r="D21" s="43" t="str">
        <f>IF(E21= "","",E21/$E$33)</f>
        <v/>
      </c>
      <c r="E21" s="141" t="str">
        <f>IF(C21="", "", K21/$K$34)</f>
        <v/>
      </c>
      <c r="F21" s="6" t="str">
        <f>IF($G21="", "", _xlfn.XLOOKUP($G21,Data!$C$6:$C$123,Data!$A$6:$A$123,#N/A))</f>
        <v/>
      </c>
      <c r="G21" s="6" t="str">
        <f t="shared" si="0"/>
        <v/>
      </c>
      <c r="H21" s="6" t="str">
        <f>IF($C21="", "", B21/$B$33)</f>
        <v/>
      </c>
      <c r="I21" s="140" t="str">
        <f>IF($C21="", "", _xlfn.XLOOKUP($C21,Data!$B$6:$B$123,Data!$G$6:$G$123,#N/A))</f>
        <v/>
      </c>
      <c r="J21" s="139" t="str">
        <f t="shared" si="1"/>
        <v/>
      </c>
      <c r="K21" s="37" t="str">
        <f t="shared" si="2"/>
        <v/>
      </c>
      <c r="L21" s="80"/>
      <c r="M21" s="14"/>
      <c r="N21" s="14"/>
      <c r="O21" s="8" t="str">
        <f t="shared" si="3"/>
        <v/>
      </c>
      <c r="P21" s="14" t="str">
        <f t="shared" si="4"/>
        <v/>
      </c>
      <c r="Q21" s="24" t="str">
        <f>IF(O21="", "", CONCATENATE(O21, "    ",P21, "    # ", _xlfn.XLOOKUP(VALUE(O21),Data!$C$6:$C$123,Data!$A$6:$A$123,#N/A)))</f>
        <v/>
      </c>
    </row>
    <row r="22" spans="1:17" x14ac:dyDescent="0.25">
      <c r="A22" s="47"/>
      <c r="B22" s="147"/>
      <c r="C22" s="34" t="str">
        <f>IF($G22="", "", _xlfn.XLOOKUP($G22,Data!$C$6:$C$123,Data!$B$6:$B$123,#N/A))</f>
        <v/>
      </c>
      <c r="D22" s="41" t="str">
        <f>IF(E22= "","",E22/$E$33)</f>
        <v/>
      </c>
      <c r="E22" s="141" t="str">
        <f>IF(C22="", "", K22/$K$34)</f>
        <v/>
      </c>
      <c r="F22" s="6" t="str">
        <f>IF($G22="", "", _xlfn.XLOOKUP($G22,Data!$C$6:$C$123,Data!$A$6:$A$123,#N/A))</f>
        <v/>
      </c>
      <c r="G22" s="6" t="str">
        <f t="shared" si="0"/>
        <v/>
      </c>
      <c r="H22" s="6" t="str">
        <f>IF($C22="", "", B22/$B$33)</f>
        <v/>
      </c>
      <c r="I22" s="140" t="str">
        <f>IF($C22="", "", _xlfn.XLOOKUP($C22,Data!$B$6:$B$123,Data!$G$6:$G$123,#N/A))</f>
        <v/>
      </c>
      <c r="J22" s="139" t="str">
        <f t="shared" si="1"/>
        <v/>
      </c>
      <c r="K22" s="37" t="str">
        <f t="shared" ref="K22:K23" si="5">IF(ISBLANK($B22), "",H22/ I22)</f>
        <v/>
      </c>
      <c r="L22" s="80"/>
      <c r="M22" s="14"/>
      <c r="N22" s="14"/>
      <c r="O22" s="8" t="str">
        <f t="shared" ref="O22:O23" si="6">_xlfn.VALUETOTEXT(M22)</f>
        <v/>
      </c>
      <c r="P22" s="14" t="str">
        <f t="shared" si="4"/>
        <v/>
      </c>
      <c r="Q22" s="24" t="str">
        <f>IF(O22="", "", CONCATENATE(O22, "    ",P22, "    # ", _xlfn.XLOOKUP(VALUE(O22),Data!$C$6:$C$123,Data!$A$6:$A$123,#N/A)))</f>
        <v/>
      </c>
    </row>
    <row r="23" spans="1:17" x14ac:dyDescent="0.25">
      <c r="A23" s="47"/>
      <c r="B23" s="147"/>
      <c r="C23" s="34" t="str">
        <f>IF($G23="", "", _xlfn.XLOOKUP($G23,Data!$C$6:$C$123,Data!$B$6:$B$123,#N/A))</f>
        <v/>
      </c>
      <c r="D23" s="41" t="str">
        <f>IF(E23= "","",E23/$E$33)</f>
        <v/>
      </c>
      <c r="E23" s="141" t="str">
        <f>IF(C23="", "", K23/$K$34)</f>
        <v/>
      </c>
      <c r="F23" s="6" t="str">
        <f>IF($G23="", "", _xlfn.XLOOKUP($G23,Data!$C$6:$C$123,Data!$A$6:$A$123,#N/A))</f>
        <v/>
      </c>
      <c r="G23" s="6" t="str">
        <f t="shared" si="0"/>
        <v/>
      </c>
      <c r="H23" s="6" t="str">
        <f>IF($C23="", "", B23/$B$33)</f>
        <v/>
      </c>
      <c r="I23" s="140" t="str">
        <f>IF($C23="", "", _xlfn.XLOOKUP($C23,Data!$B$6:$B$123,Data!$G$6:$G$123,#N/A))</f>
        <v/>
      </c>
      <c r="J23" s="139" t="str">
        <f t="shared" si="1"/>
        <v/>
      </c>
      <c r="K23" s="37" t="str">
        <f t="shared" si="5"/>
        <v/>
      </c>
      <c r="L23" s="80"/>
      <c r="M23" s="14"/>
      <c r="N23" s="14"/>
      <c r="O23" s="8" t="str">
        <f t="shared" si="6"/>
        <v/>
      </c>
      <c r="P23" s="14" t="str">
        <f t="shared" si="4"/>
        <v/>
      </c>
      <c r="Q23" s="24" t="str">
        <f>IF(O23="", "", CONCATENATE(O23, "    ",P23, "    # ", _xlfn.XLOOKUP(VALUE(O23),Data!$C$6:$C$123,Data!$A$6:$A$123,#N/A)))</f>
        <v/>
      </c>
    </row>
    <row r="24" spans="1:17" x14ac:dyDescent="0.25">
      <c r="A24" s="47"/>
      <c r="B24" s="147"/>
      <c r="C24" s="34" t="str">
        <f>IF($G24="", "", _xlfn.XLOOKUP($G24,Data!$C$6:$C$123,Data!$B$6:$B$123,#N/A))</f>
        <v/>
      </c>
      <c r="D24" s="41" t="str">
        <f>IF(E24= "","",E24/$E$33)</f>
        <v/>
      </c>
      <c r="E24" s="141" t="str">
        <f>IF(C24="", "", K24/$K$34)</f>
        <v/>
      </c>
      <c r="F24" s="6" t="str">
        <f>IF($G24="", "", _xlfn.XLOOKUP($G24,Data!$C$6:$C$123,Data!$A$6:$A$123,#N/A))</f>
        <v/>
      </c>
      <c r="G24" s="6" t="str">
        <f t="shared" si="0"/>
        <v/>
      </c>
      <c r="H24" s="6" t="str">
        <f>IF($C24="", "", B24/$B$33)</f>
        <v/>
      </c>
      <c r="I24" s="140" t="str">
        <f>IF($C24="", "", _xlfn.XLOOKUP($C24,Data!$B$6:$B$123,Data!$G$6:$G$123,#N/A))</f>
        <v/>
      </c>
      <c r="J24" s="139" t="str">
        <f t="shared" si="1"/>
        <v/>
      </c>
      <c r="K24" s="37" t="str">
        <f t="shared" si="2"/>
        <v/>
      </c>
      <c r="L24" s="80"/>
      <c r="M24" s="14"/>
      <c r="N24" s="14"/>
      <c r="O24" s="8" t="str">
        <f t="shared" si="3"/>
        <v/>
      </c>
      <c r="P24" s="14" t="str">
        <f t="shared" si="4"/>
        <v/>
      </c>
      <c r="Q24" s="24" t="str">
        <f>IF(O24="", "", CONCATENATE(O24, "    ",P24, "    # ", _xlfn.XLOOKUP(VALUE(O24),Data!$C$6:$C$123,Data!$A$6:$A$123,#N/A)))</f>
        <v/>
      </c>
    </row>
    <row r="25" spans="1:17" x14ac:dyDescent="0.25">
      <c r="A25" s="47"/>
      <c r="B25" s="147"/>
      <c r="C25" s="34" t="str">
        <f>IF($G25="", "", _xlfn.XLOOKUP($G25,Data!$C$6:$C$123,Data!$B$6:$B$123,#N/A))</f>
        <v/>
      </c>
      <c r="D25" s="41" t="str">
        <f>IF(E25= "","",E25/$E$33)</f>
        <v/>
      </c>
      <c r="E25" s="141" t="str">
        <f>IF(C25="", "", K25/$K$34)</f>
        <v/>
      </c>
      <c r="F25" s="6" t="str">
        <f>IF($G25="", "", _xlfn.XLOOKUP($G25,Data!$C$6:$C$123,Data!$A$6:$A$123,#N/A))</f>
        <v/>
      </c>
      <c r="G25" s="6" t="str">
        <f t="shared" si="0"/>
        <v/>
      </c>
      <c r="H25" s="6" t="str">
        <f>IF($C25="", "", B25/$B$33)</f>
        <v/>
      </c>
      <c r="I25" s="140" t="str">
        <f>IF($C25="", "", _xlfn.XLOOKUP($C25,Data!$B$6:$B$123,Data!$G$6:$G$123,#N/A))</f>
        <v/>
      </c>
      <c r="J25" s="139" t="str">
        <f t="shared" si="1"/>
        <v/>
      </c>
      <c r="K25" s="37" t="str">
        <f t="shared" si="2"/>
        <v/>
      </c>
      <c r="L25" s="80"/>
      <c r="M25" s="14"/>
      <c r="N25" s="14"/>
      <c r="O25" s="8" t="str">
        <f t="shared" si="3"/>
        <v/>
      </c>
      <c r="P25" s="14" t="str">
        <f t="shared" si="4"/>
        <v/>
      </c>
      <c r="Q25" s="24" t="str">
        <f>IF(O25="", "", CONCATENATE(O25, "    ",P25, "    # ", _xlfn.XLOOKUP(VALUE(O25),Data!$C$6:$C$123,Data!$A$6:$A$123,#N/A)))</f>
        <v/>
      </c>
    </row>
    <row r="26" spans="1:17" x14ac:dyDescent="0.25">
      <c r="A26" s="47"/>
      <c r="B26" s="147"/>
      <c r="C26" s="34" t="str">
        <f>IF($G26="", "", _xlfn.XLOOKUP($G26,Data!$C$6:$C$123,Data!$B$6:$B$123,#N/A))</f>
        <v/>
      </c>
      <c r="D26" s="41" t="str">
        <f>IF(E26= "","",E26/$E$33)</f>
        <v/>
      </c>
      <c r="E26" s="141" t="str">
        <f>IF(C26="", "", K26/$K$34)</f>
        <v/>
      </c>
      <c r="F26" s="6" t="str">
        <f>IF($G26="", "", _xlfn.XLOOKUP($G26,Data!$C$6:$C$123,Data!$A$6:$A$123,#N/A))</f>
        <v/>
      </c>
      <c r="G26" s="6" t="str">
        <f t="shared" si="0"/>
        <v/>
      </c>
      <c r="H26" s="6" t="str">
        <f>IF($C26="", "", B26/$B$33)</f>
        <v/>
      </c>
      <c r="I26" s="140" t="str">
        <f>IF($C26="", "", _xlfn.XLOOKUP($C26,Data!$B$6:$B$123,Data!$G$6:$G$123,#N/A))</f>
        <v/>
      </c>
      <c r="J26" s="139" t="str">
        <f t="shared" si="1"/>
        <v/>
      </c>
      <c r="K26" s="37" t="str">
        <f t="shared" si="2"/>
        <v/>
      </c>
      <c r="L26" s="80"/>
      <c r="M26" s="14"/>
      <c r="N26" s="14"/>
      <c r="O26" s="8" t="str">
        <f t="shared" si="3"/>
        <v/>
      </c>
      <c r="P26" s="14" t="str">
        <f t="shared" si="4"/>
        <v/>
      </c>
      <c r="Q26" s="24" t="str">
        <f>IF(O26="", "", CONCATENATE(O26, "    ",P26, "    # ", _xlfn.XLOOKUP(VALUE(O26),Data!$C$6:$C$123,Data!$A$6:$A$123,#N/A)))</f>
        <v/>
      </c>
    </row>
    <row r="27" spans="1:17" ht="15" customHeight="1" x14ac:dyDescent="0.25">
      <c r="A27" s="47"/>
      <c r="B27" s="147"/>
      <c r="C27" s="34" t="str">
        <f>IF($G27="", "", _xlfn.XLOOKUP($G27,Data!$C$6:$C$123,Data!$B$6:$B$123,#N/A))</f>
        <v/>
      </c>
      <c r="D27" s="41" t="str">
        <f>IF(E27= "","",E27/$E$33)</f>
        <v/>
      </c>
      <c r="E27" s="141" t="str">
        <f>IF(C27="", "", K27/$K$34)</f>
        <v/>
      </c>
      <c r="F27" s="6" t="str">
        <f>IF($G27="", "", _xlfn.XLOOKUP($G27,Data!$C$6:$C$123,Data!$A$6:$A$123,#N/A))</f>
        <v/>
      </c>
      <c r="G27" s="6" t="str">
        <f t="shared" si="0"/>
        <v/>
      </c>
      <c r="H27" s="6" t="str">
        <f>IF($C27="", "", B27/$B$33)</f>
        <v/>
      </c>
      <c r="I27" s="140" t="str">
        <f>IF($C27="", "", _xlfn.XLOOKUP($C27,Data!$B$6:$B$123,Data!$G$6:$G$123,#N/A))</f>
        <v/>
      </c>
      <c r="J27" s="139" t="str">
        <f t="shared" si="1"/>
        <v/>
      </c>
      <c r="K27" s="37" t="str">
        <f t="shared" si="2"/>
        <v/>
      </c>
      <c r="L27" s="80"/>
      <c r="M27" s="14"/>
      <c r="N27" s="14"/>
      <c r="O27" s="8" t="str">
        <f t="shared" si="3"/>
        <v/>
      </c>
      <c r="P27" s="14" t="str">
        <f t="shared" si="4"/>
        <v/>
      </c>
      <c r="Q27" s="24" t="str">
        <f>IF(O27="", "", CONCATENATE(O27, "    ",P27, "    # ", _xlfn.XLOOKUP(VALUE(O27),Data!$C$6:$C$123,Data!$A$6:$A$123,#N/A)))</f>
        <v/>
      </c>
    </row>
    <row r="28" spans="1:17" x14ac:dyDescent="0.25">
      <c r="A28" s="47"/>
      <c r="B28" s="147"/>
      <c r="C28" s="34" t="str">
        <f>IF($G28="", "", _xlfn.XLOOKUP($G28,Data!$C$6:$C$123,Data!$B$6:$B$123,#N/A))</f>
        <v/>
      </c>
      <c r="D28" s="41" t="str">
        <f>IF(E28= "","",E28/$E$33)</f>
        <v/>
      </c>
      <c r="E28" s="141" t="str">
        <f>IF(C28="", "", K28/$K$34)</f>
        <v/>
      </c>
      <c r="F28" s="6" t="str">
        <f>IF($G28="", "", _xlfn.XLOOKUP($G28,Data!$C$6:$C$123,Data!$A$6:$A$123,#N/A))</f>
        <v/>
      </c>
      <c r="G28" s="6" t="str">
        <f t="shared" si="0"/>
        <v/>
      </c>
      <c r="H28" s="6" t="str">
        <f>IF($C28="", "", B28/$B$33)</f>
        <v/>
      </c>
      <c r="I28" s="140" t="str">
        <f>IF($C28="", "", _xlfn.XLOOKUP($C28,Data!$B$6:$B$123,Data!$G$6:$G$123,#N/A))</f>
        <v/>
      </c>
      <c r="J28" s="139" t="str">
        <f t="shared" si="1"/>
        <v/>
      </c>
      <c r="K28" s="37" t="str">
        <f t="shared" si="2"/>
        <v/>
      </c>
      <c r="L28" s="80"/>
      <c r="M28" s="14"/>
      <c r="N28" s="14"/>
      <c r="O28" s="8" t="str">
        <f t="shared" si="3"/>
        <v/>
      </c>
      <c r="P28" s="14" t="str">
        <f t="shared" si="4"/>
        <v/>
      </c>
      <c r="Q28" s="24" t="str">
        <f>IF(O28="", "", CONCATENATE(O28, "    ",P28, "    # ", _xlfn.XLOOKUP(VALUE(O28),Data!$C$6:$C$123,Data!$A$6:$A$123,#N/A)))</f>
        <v/>
      </c>
    </row>
    <row r="29" spans="1:17" ht="15.75" thickBot="1" x14ac:dyDescent="0.3">
      <c r="A29" s="48"/>
      <c r="B29" s="33"/>
      <c r="C29" s="35" t="str">
        <f>IF($G29="", "", _xlfn.XLOOKUP($G29,Data!$C$6:$C$123,Data!$B$6:$B$123,#N/A))</f>
        <v/>
      </c>
      <c r="D29" s="42" t="str">
        <f>IF(E29= "","",E29/$E$33)</f>
        <v/>
      </c>
      <c r="E29" s="36" t="str">
        <f>IF(C29="", "", K29/$K$34)</f>
        <v/>
      </c>
      <c r="F29" s="7" t="str">
        <f>IF($G29="", "", _xlfn.XLOOKUP($G29,Data!$C$6:$C$123,Data!$A$6:$A$123,#N/A))</f>
        <v/>
      </c>
      <c r="G29" s="7" t="str">
        <f t="shared" si="0"/>
        <v/>
      </c>
      <c r="H29" s="7" t="str">
        <f>IF($C29="", "", B29/$B$33)</f>
        <v/>
      </c>
      <c r="I29" s="7" t="str">
        <f>IF($C29="", "", _xlfn.XLOOKUP($C29,Data!$B$6:$B$123,Data!$G$6:$G$123,#N/A))</f>
        <v/>
      </c>
      <c r="J29" s="38" t="str">
        <f t="shared" ref="J19:J29" si="7">IF(ISBLANK($B29), "",H29*I29)</f>
        <v/>
      </c>
      <c r="K29" s="38" t="str">
        <f t="shared" si="2"/>
        <v/>
      </c>
      <c r="L29" s="81"/>
      <c r="M29" s="15"/>
      <c r="N29" s="15"/>
      <c r="O29" s="9" t="str">
        <f t="shared" si="3"/>
        <v/>
      </c>
      <c r="P29" s="15" t="str">
        <f t="shared" si="4"/>
        <v/>
      </c>
      <c r="Q29" s="25" t="str">
        <f>IF(O29="", "", CONCATENATE(O29, "    ",P29, "    # ", _xlfn.XLOOKUP(VALUE(O29),Data!$C$6:$C$123,Data!$A$6:$A$123,#N/A)))</f>
        <v/>
      </c>
    </row>
    <row r="30" spans="1:17" ht="15" customHeight="1" x14ac:dyDescent="0.25">
      <c r="B30" s="89" t="s">
        <v>403</v>
      </c>
      <c r="E30" s="89" t="s">
        <v>394</v>
      </c>
      <c r="J30" s="89" t="s">
        <v>428</v>
      </c>
      <c r="K30" s="89" t="s">
        <v>401</v>
      </c>
      <c r="N30" s="89" t="s">
        <v>419</v>
      </c>
      <c r="O30" s="135" t="s">
        <v>429</v>
      </c>
      <c r="P30" s="171"/>
      <c r="Q30" s="125"/>
    </row>
    <row r="31" spans="1:17" ht="15" customHeight="1" x14ac:dyDescent="0.25">
      <c r="B31" s="90"/>
      <c r="E31" s="90"/>
      <c r="G31" s="50"/>
      <c r="J31" s="90"/>
      <c r="K31" s="90"/>
      <c r="N31" s="90"/>
      <c r="O31" s="136" t="s">
        <v>430</v>
      </c>
      <c r="P31" s="137"/>
      <c r="Q31" s="146">
        <f>$P$40</f>
        <v>3.4195131166621888E-4</v>
      </c>
    </row>
    <row r="32" spans="1:17" ht="15" customHeight="1" thickBot="1" x14ac:dyDescent="0.3">
      <c r="B32" s="90"/>
      <c r="E32" s="90"/>
      <c r="J32" s="142">
        <f>SUM(J18:J29)</f>
        <v>18.015349999999998</v>
      </c>
      <c r="K32" s="90"/>
      <c r="N32" s="90"/>
      <c r="O32" s="136" t="s">
        <v>431</v>
      </c>
      <c r="P32" s="137"/>
      <c r="Q32" s="127" t="s">
        <v>425</v>
      </c>
    </row>
    <row r="33" spans="1:20" ht="15.75" thickBot="1" x14ac:dyDescent="0.3">
      <c r="B33" s="49">
        <f>SUM(B18:B29)</f>
        <v>1</v>
      </c>
      <c r="E33" s="143">
        <f>SUM(E18:E29)</f>
        <v>3</v>
      </c>
      <c r="K33" s="90"/>
      <c r="N33" s="49">
        <f>SUM(N18:N29)</f>
        <v>1</v>
      </c>
      <c r="O33" s="136" t="s">
        <v>426</v>
      </c>
      <c r="P33" s="137"/>
      <c r="Q33" s="127" t="str">
        <f xml:space="preserve"> _xlfn.CONCAT("NCAT blood with ", ROUND(100*$N$28, 1), "% iodine (", ROUND($P$41, 1), " ", $Q$41, ")")</f>
        <v>NCAT blood with 0% iodine (-1059.7 mg iodine/mL blood-iodine solution)</v>
      </c>
    </row>
    <row r="34" spans="1:20" ht="15.75" thickBot="1" x14ac:dyDescent="0.3">
      <c r="K34" s="40">
        <f>MIN(K18:K29)</f>
        <v>5.5508219379584639E-2</v>
      </c>
      <c r="N34" s="3"/>
      <c r="O34" s="136" t="s">
        <v>432</v>
      </c>
      <c r="P34" s="137"/>
      <c r="Q34" s="127" t="s">
        <v>420</v>
      </c>
    </row>
    <row r="35" spans="1:20" ht="15.75" thickBot="1" x14ac:dyDescent="0.3">
      <c r="N35" s="3"/>
      <c r="O35" s="138" t="s">
        <v>455</v>
      </c>
      <c r="P35" s="148"/>
      <c r="Q35" s="149"/>
      <c r="R35" s="149"/>
      <c r="S35" s="150"/>
      <c r="T35" s="151" t="s">
        <v>435</v>
      </c>
    </row>
    <row r="36" spans="1:20" s="53" customFormat="1" x14ac:dyDescent="0.25">
      <c r="A36" s="4"/>
      <c r="B36" s="4"/>
      <c r="C36" s="4"/>
      <c r="L36" s="5"/>
      <c r="M36" s="5"/>
      <c r="O36" s="3"/>
      <c r="P36" s="145">
        <f>J32</f>
        <v>18.015349999999998</v>
      </c>
      <c r="Q36" s="127" t="s">
        <v>450</v>
      </c>
      <c r="R36" s="3"/>
      <c r="S36" s="126" t="s">
        <v>433</v>
      </c>
      <c r="T36" s="127" t="s">
        <v>434</v>
      </c>
    </row>
    <row r="37" spans="1:20" x14ac:dyDescent="0.25">
      <c r="N37" s="3"/>
      <c r="O37" s="3"/>
      <c r="P37" s="145">
        <v>55845.000000000015</v>
      </c>
      <c r="Q37" s="127" t="s">
        <v>451</v>
      </c>
      <c r="S37" s="144">
        <v>0.7</v>
      </c>
      <c r="T37" s="152">
        <v>7.0489999999999997E-3</v>
      </c>
    </row>
    <row r="38" spans="1:20" x14ac:dyDescent="0.25">
      <c r="N38" s="3"/>
      <c r="O38" s="3"/>
      <c r="P38" s="128">
        <f>P36/P37</f>
        <v>3.2259557704360269E-4</v>
      </c>
      <c r="Q38" s="127" t="s">
        <v>452</v>
      </c>
      <c r="S38" s="144">
        <v>0.8</v>
      </c>
      <c r="T38" s="152">
        <v>8.0649999999999993E-3</v>
      </c>
    </row>
    <row r="39" spans="1:20" x14ac:dyDescent="0.25">
      <c r="O39" s="53"/>
      <c r="P39" s="126">
        <v>1.06</v>
      </c>
      <c r="Q39" s="127" t="s">
        <v>424</v>
      </c>
      <c r="S39" s="144">
        <v>0.9</v>
      </c>
      <c r="T39" s="152">
        <v>9.0819999999999998E-3</v>
      </c>
    </row>
    <row r="40" spans="1:20" x14ac:dyDescent="0.25">
      <c r="O40" s="3"/>
      <c r="P40" s="128">
        <f>P38*P39</f>
        <v>3.4195131166621888E-4</v>
      </c>
      <c r="Q40" s="127" t="s">
        <v>443</v>
      </c>
      <c r="S40" s="144">
        <v>1</v>
      </c>
      <c r="T40" s="152">
        <v>1.0101000000000001E-2</v>
      </c>
    </row>
    <row r="41" spans="1:20" ht="15.75" thickBot="1" x14ac:dyDescent="0.3">
      <c r="P41" s="134">
        <f>1000*(P40-P39)</f>
        <v>-1059.6580486883338</v>
      </c>
      <c r="Q41" s="129" t="s">
        <v>441</v>
      </c>
      <c r="S41" s="144">
        <v>1.1000000000000001</v>
      </c>
      <c r="T41" s="152">
        <v>1.1122E-2</v>
      </c>
    </row>
    <row r="42" spans="1:20" x14ac:dyDescent="0.25">
      <c r="S42" s="144">
        <v>2</v>
      </c>
      <c r="T42" s="152">
        <v>2.0407999999999999E-2</v>
      </c>
    </row>
    <row r="43" spans="1:20" ht="15.75" thickBot="1" x14ac:dyDescent="0.3">
      <c r="S43" s="134">
        <v>3</v>
      </c>
      <c r="T43" s="153">
        <v>3.0928000000000001E-2</v>
      </c>
    </row>
    <row r="44" spans="1:20" x14ac:dyDescent="0.25">
      <c r="O44" s="3"/>
      <c r="P44" s="3"/>
    </row>
    <row r="45" spans="1:20" s="53" customFormat="1" x14ac:dyDescent="0.25">
      <c r="A45" s="4"/>
      <c r="B45" s="4"/>
      <c r="C45" s="4"/>
      <c r="L45" s="5"/>
      <c r="M45" s="5"/>
      <c r="N45" s="5"/>
    </row>
    <row r="46" spans="1:20" x14ac:dyDescent="0.25">
      <c r="O46" s="3"/>
      <c r="P46" s="3"/>
    </row>
    <row r="47" spans="1:20" x14ac:dyDescent="0.25">
      <c r="O47" s="3"/>
      <c r="P47" s="3"/>
    </row>
    <row r="48" spans="1:20" x14ac:dyDescent="0.25">
      <c r="O48" s="3"/>
      <c r="P48" s="3"/>
    </row>
    <row r="49" spans="15:17" x14ac:dyDescent="0.25">
      <c r="O49" s="3"/>
      <c r="P49" s="3"/>
    </row>
    <row r="50" spans="15:17" x14ac:dyDescent="0.25">
      <c r="O50" s="3"/>
      <c r="P50" s="3"/>
    </row>
    <row r="51" spans="15:17" x14ac:dyDescent="0.25">
      <c r="O51" s="3"/>
      <c r="P51" s="3"/>
    </row>
    <row r="52" spans="15:17" x14ac:dyDescent="0.25">
      <c r="O52" s="3"/>
      <c r="P52" s="3"/>
    </row>
    <row r="53" spans="15:17" x14ac:dyDescent="0.25">
      <c r="O53" s="3"/>
      <c r="P53" s="3"/>
    </row>
    <row r="54" spans="15:17" x14ac:dyDescent="0.25">
      <c r="O54" s="3"/>
      <c r="P54" s="3"/>
    </row>
    <row r="55" spans="15:17" x14ac:dyDescent="0.25">
      <c r="O55" s="3"/>
      <c r="P55" s="3"/>
    </row>
    <row r="56" spans="15:17" x14ac:dyDescent="0.25">
      <c r="O56" s="3"/>
      <c r="P56" s="3"/>
    </row>
    <row r="57" spans="15:17" x14ac:dyDescent="0.25">
      <c r="Q57" s="53"/>
    </row>
    <row r="58" spans="15:17" x14ac:dyDescent="0.25">
      <c r="Q58" s="53"/>
    </row>
  </sheetData>
  <sheetProtection sheet="1" objects="1" scenarios="1"/>
  <mergeCells count="37">
    <mergeCell ref="J1:P1"/>
    <mergeCell ref="A1:I1"/>
    <mergeCell ref="A2:P2"/>
    <mergeCell ref="A3:P3"/>
    <mergeCell ref="C12:C17"/>
    <mergeCell ref="E12:E17"/>
    <mergeCell ref="D12:D17"/>
    <mergeCell ref="G7:P7"/>
    <mergeCell ref="A10:P10"/>
    <mergeCell ref="A11:P11"/>
    <mergeCell ref="F9:P9"/>
    <mergeCell ref="B30:B32"/>
    <mergeCell ref="A5:J5"/>
    <mergeCell ref="A4:P4"/>
    <mergeCell ref="K30:K33"/>
    <mergeCell ref="H12:H17"/>
    <mergeCell ref="E30:E32"/>
    <mergeCell ref="A12:B13"/>
    <mergeCell ref="A14:A17"/>
    <mergeCell ref="B14:B17"/>
    <mergeCell ref="J12:J17"/>
    <mergeCell ref="M12:N13"/>
    <mergeCell ref="O12:P13"/>
    <mergeCell ref="M14:M17"/>
    <mergeCell ref="N14:N17"/>
    <mergeCell ref="O14:O17"/>
    <mergeCell ref="J30:J31"/>
    <mergeCell ref="L5:P5"/>
    <mergeCell ref="D6:P6"/>
    <mergeCell ref="F8:P8"/>
    <mergeCell ref="L12:L29"/>
    <mergeCell ref="P14:P17"/>
    <mergeCell ref="F12:F17"/>
    <mergeCell ref="G12:G17"/>
    <mergeCell ref="I12:I17"/>
    <mergeCell ref="K12:K17"/>
    <mergeCell ref="N30:N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D58" sqref="D58"/>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122" t="s">
        <v>260</v>
      </c>
      <c r="B1" s="122"/>
      <c r="C1" s="122"/>
      <c r="D1" s="122"/>
      <c r="E1" s="122"/>
      <c r="F1" s="122"/>
      <c r="G1" s="122"/>
      <c r="I1" s="120" t="s">
        <v>374</v>
      </c>
      <c r="J1" s="120"/>
      <c r="K1" s="120"/>
      <c r="L1" s="120"/>
      <c r="M1" s="120"/>
      <c r="N1" s="120"/>
      <c r="P1" s="119" t="s">
        <v>373</v>
      </c>
      <c r="Q1" s="119"/>
      <c r="S1" s="120" t="s">
        <v>376</v>
      </c>
      <c r="T1" s="121"/>
      <c r="U1" s="121"/>
      <c r="V1" s="121"/>
    </row>
    <row r="2" spans="1:26" s="3" customFormat="1" ht="45" customHeight="1" x14ac:dyDescent="0.25">
      <c r="A2" s="123" t="s">
        <v>4</v>
      </c>
      <c r="B2" s="123"/>
      <c r="C2" s="123"/>
      <c r="D2" s="123"/>
      <c r="E2" s="123"/>
      <c r="F2" s="123"/>
      <c r="G2" s="123"/>
      <c r="I2" s="120"/>
      <c r="J2" s="120"/>
      <c r="K2" s="120"/>
      <c r="L2" s="120"/>
      <c r="M2" s="120"/>
      <c r="N2" s="120"/>
      <c r="P2" s="119"/>
      <c r="Q2" s="119"/>
      <c r="S2" s="121"/>
      <c r="T2" s="121"/>
      <c r="U2" s="121"/>
      <c r="V2" s="121"/>
    </row>
    <row r="3" spans="1:26" s="3" customFormat="1" ht="45" customHeight="1" x14ac:dyDescent="0.25">
      <c r="A3" s="123" t="s">
        <v>5</v>
      </c>
      <c r="B3" s="123"/>
      <c r="C3" s="123"/>
      <c r="D3" s="123"/>
      <c r="E3" s="123"/>
      <c r="F3" s="123"/>
      <c r="G3" s="123"/>
      <c r="I3" s="120"/>
      <c r="J3" s="120"/>
      <c r="K3" s="120"/>
      <c r="L3" s="120"/>
      <c r="M3" s="120"/>
      <c r="N3" s="120"/>
      <c r="P3" s="119"/>
      <c r="Q3" s="119"/>
      <c r="S3" s="121"/>
      <c r="T3" s="121"/>
      <c r="U3" s="121"/>
      <c r="V3" s="121"/>
    </row>
    <row r="4" spans="1:26" s="3" customFormat="1" ht="45" customHeight="1" x14ac:dyDescent="0.25">
      <c r="A4" s="124" t="s">
        <v>250</v>
      </c>
      <c r="B4" s="124"/>
      <c r="C4" s="124"/>
      <c r="D4" s="124"/>
      <c r="E4" s="124"/>
      <c r="F4" s="124"/>
      <c r="G4" s="124"/>
      <c r="I4" s="120"/>
      <c r="J4" s="120"/>
      <c r="K4" s="120"/>
      <c r="L4" s="120"/>
      <c r="M4" s="120"/>
      <c r="N4" s="120"/>
      <c r="P4" s="119"/>
      <c r="Q4" s="119"/>
      <c r="S4" s="121"/>
      <c r="T4" s="121"/>
      <c r="U4" s="121"/>
      <c r="V4" s="121"/>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375</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360</v>
      </c>
      <c r="L6" s="3">
        <f t="shared" ref="L6" si="0">IF(LEFT($K6,1)="[",VALUE(MID($K6,2,FIND(",",$K6)-2)), $K6)</f>
        <v>1.0069999999999999</v>
      </c>
      <c r="M6" s="3">
        <f t="shared" ref="M6" si="1">IF(LEFT($K6,1)="[",VALUE(MID($K6,FIND(",",$K6)+2,FIND("]",$K6)-FIND(",",$K6)-2)), $K6)</f>
        <v>1.008</v>
      </c>
      <c r="N6" s="3">
        <f t="shared" ref="N6" si="2">AVERAGE(L6,M6)</f>
        <v>1.0074999999999998</v>
      </c>
      <c r="O6" s="3" t="s">
        <v>267</v>
      </c>
      <c r="P6">
        <f>G6-N6</f>
        <v>4.7500000000022524E-4</v>
      </c>
      <c r="Q6" s="22">
        <f>P6/N6</f>
        <v>4.7146401985134024E-4</v>
      </c>
      <c r="S6" s="3">
        <v>1</v>
      </c>
      <c r="T6" s="3" t="s">
        <v>7</v>
      </c>
      <c r="U6" s="3" t="s">
        <v>268</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269</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270</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271</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272</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273</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361</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274</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362</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275</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276</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277</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278</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279</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280</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281</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282</v>
      </c>
      <c r="V20" s="27">
        <v>2.2000000000000002</v>
      </c>
      <c r="W20" s="3"/>
      <c r="X20" s="3"/>
      <c r="Y20" s="3"/>
      <c r="Z20" s="3"/>
    </row>
    <row r="21" spans="1:26" ht="16.5" x14ac:dyDescent="0.25">
      <c r="A21" s="17" t="s">
        <v>383</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283</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284</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285</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286</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287</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288</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289</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290</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291</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292</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293</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294</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295</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296</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297</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298</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299</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300</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301</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302</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303</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304</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305</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306</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307</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308</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309</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363</v>
      </c>
      <c r="L48" s="3" t="e">
        <f t="shared" si="7"/>
        <v>#VALUE!</v>
      </c>
      <c r="M48" s="3" t="e">
        <f t="shared" si="8"/>
        <v>#VALUE!</v>
      </c>
      <c r="N48" s="3" t="e">
        <f t="shared" si="9"/>
        <v>#VALUE!</v>
      </c>
      <c r="O48" s="3"/>
      <c r="P48" s="3" t="e">
        <f t="shared" si="5"/>
        <v>#VALUE!</v>
      </c>
      <c r="Q48" s="22" t="e">
        <f t="shared" si="6"/>
        <v>#VALUE!</v>
      </c>
      <c r="R48" s="3"/>
      <c r="S48" s="3">
        <v>43</v>
      </c>
      <c r="T48" s="3" t="s">
        <v>100</v>
      </c>
      <c r="U48" s="3" t="s">
        <v>310</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311</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312</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313</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314</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315</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316</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317</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318</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319</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320</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321</v>
      </c>
      <c r="V59" s="27">
        <v>5.4850000000000003E-3</v>
      </c>
      <c r="W59" s="3"/>
      <c r="X59" s="3"/>
      <c r="Y59" s="3"/>
      <c r="Z59" s="3"/>
    </row>
    <row r="60" spans="1:26" ht="16.5" x14ac:dyDescent="0.25">
      <c r="A60" s="17" t="s">
        <v>384</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322</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323</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324</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325</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326</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327</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364</v>
      </c>
      <c r="L66" s="3" t="e">
        <f t="shared" si="7"/>
        <v>#VALUE!</v>
      </c>
      <c r="M66" s="3" t="e">
        <f t="shared" si="8"/>
        <v>#VALUE!</v>
      </c>
      <c r="N66" s="3" t="e">
        <f t="shared" si="9"/>
        <v>#VALUE!</v>
      </c>
      <c r="O66" s="3"/>
      <c r="P66" s="3" t="e">
        <f t="shared" si="5"/>
        <v>#VALUE!</v>
      </c>
      <c r="Q66" s="22" t="e">
        <f t="shared" si="6"/>
        <v>#VALUE!</v>
      </c>
      <c r="R66" s="3"/>
      <c r="S66" s="3">
        <v>61</v>
      </c>
      <c r="T66" s="3" t="s">
        <v>135</v>
      </c>
      <c r="U66" s="3" t="s">
        <v>328</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329</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330</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331</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332</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333</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334</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335</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336</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337</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338</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339</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340</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341</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342</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343</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344</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345</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346</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347</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348</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349</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350</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365</v>
      </c>
      <c r="L89" s="3" t="e">
        <f t="shared" si="15"/>
        <v>#VALUE!</v>
      </c>
      <c r="M89" s="3" t="e">
        <f t="shared" si="16"/>
        <v>#VALUE!</v>
      </c>
      <c r="N89" s="3" t="e">
        <f t="shared" si="17"/>
        <v>#VALUE!</v>
      </c>
      <c r="O89" s="3"/>
      <c r="P89" s="3" t="e">
        <f t="shared" si="13"/>
        <v>#VALUE!</v>
      </c>
      <c r="Q89" s="22" t="e">
        <f t="shared" si="14"/>
        <v>#VALUE!</v>
      </c>
      <c r="R89" s="3"/>
      <c r="S89" s="3">
        <v>84</v>
      </c>
      <c r="T89" s="3" t="s">
        <v>181</v>
      </c>
      <c r="U89" s="3" t="s">
        <v>351</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366</v>
      </c>
      <c r="L90" s="3" t="e">
        <f t="shared" si="15"/>
        <v>#VALUE!</v>
      </c>
      <c r="M90" s="3" t="e">
        <f t="shared" si="16"/>
        <v>#VALUE!</v>
      </c>
      <c r="N90" s="3" t="e">
        <f t="shared" si="17"/>
        <v>#VALUE!</v>
      </c>
      <c r="O90" s="3"/>
      <c r="P90" s="3" t="e">
        <f t="shared" si="13"/>
        <v>#VALUE!</v>
      </c>
      <c r="Q90" s="22" t="e">
        <f t="shared" si="14"/>
        <v>#VALUE!</v>
      </c>
      <c r="R90" s="3"/>
      <c r="S90" s="3">
        <v>85</v>
      </c>
      <c r="T90" s="3" t="s">
        <v>183</v>
      </c>
      <c r="U90" s="3" t="s">
        <v>352</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367</v>
      </c>
      <c r="L91" s="3" t="e">
        <f t="shared" si="15"/>
        <v>#VALUE!</v>
      </c>
      <c r="M91" s="3" t="e">
        <f t="shared" si="16"/>
        <v>#VALUE!</v>
      </c>
      <c r="N91" s="3" t="e">
        <f t="shared" si="17"/>
        <v>#VALUE!</v>
      </c>
      <c r="O91" s="3"/>
      <c r="P91" s="3" t="e">
        <f t="shared" si="13"/>
        <v>#VALUE!</v>
      </c>
      <c r="Q91" s="22" t="e">
        <f t="shared" si="14"/>
        <v>#VALUE!</v>
      </c>
      <c r="R91" s="3"/>
      <c r="S91" s="3">
        <v>86</v>
      </c>
      <c r="T91" s="3" t="s">
        <v>185</v>
      </c>
      <c r="U91" s="3" t="s">
        <v>353</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368</v>
      </c>
      <c r="L92" s="3" t="e">
        <f t="shared" si="15"/>
        <v>#VALUE!</v>
      </c>
      <c r="M92" s="3" t="e">
        <f t="shared" si="16"/>
        <v>#VALUE!</v>
      </c>
      <c r="N92" s="3" t="e">
        <f t="shared" si="17"/>
        <v>#VALUE!</v>
      </c>
      <c r="O92" s="3"/>
      <c r="P92" s="3" t="e">
        <f t="shared" si="13"/>
        <v>#VALUE!</v>
      </c>
      <c r="Q92" s="22" t="e">
        <f t="shared" si="14"/>
        <v>#VALUE!</v>
      </c>
      <c r="R92" s="3"/>
      <c r="S92" s="3">
        <v>87</v>
      </c>
      <c r="T92" s="3" t="s">
        <v>187</v>
      </c>
      <c r="U92" s="3" t="s">
        <v>354</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369</v>
      </c>
      <c r="L93" s="3" t="e">
        <f t="shared" si="15"/>
        <v>#VALUE!</v>
      </c>
      <c r="M93" s="3" t="e">
        <f t="shared" si="16"/>
        <v>#VALUE!</v>
      </c>
      <c r="N93" s="3" t="e">
        <f t="shared" si="17"/>
        <v>#VALUE!</v>
      </c>
      <c r="O93" s="3"/>
      <c r="P93" s="3" t="e">
        <f t="shared" si="13"/>
        <v>#VALUE!</v>
      </c>
      <c r="Q93" s="22" t="e">
        <f t="shared" si="14"/>
        <v>#VALUE!</v>
      </c>
      <c r="R93" s="3"/>
      <c r="S93" s="3">
        <v>88</v>
      </c>
      <c r="T93" s="3" t="s">
        <v>189</v>
      </c>
      <c r="U93" s="3" t="s">
        <v>355</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370</v>
      </c>
      <c r="L94" s="3" t="e">
        <f t="shared" si="15"/>
        <v>#VALUE!</v>
      </c>
      <c r="M94" s="3" t="e">
        <f t="shared" si="16"/>
        <v>#VALUE!</v>
      </c>
      <c r="N94" s="3" t="e">
        <f t="shared" si="17"/>
        <v>#VALUE!</v>
      </c>
      <c r="O94" s="3"/>
      <c r="P94" s="3" t="e">
        <f t="shared" si="13"/>
        <v>#VALUE!</v>
      </c>
      <c r="Q94" s="22" t="e">
        <f t="shared" si="14"/>
        <v>#VALUE!</v>
      </c>
      <c r="R94" s="3"/>
      <c r="S94" s="3">
        <v>89</v>
      </c>
      <c r="T94" s="3" t="s">
        <v>191</v>
      </c>
      <c r="U94" s="3" t="s">
        <v>356</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357</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358</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359</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371</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372</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2022-04-21T16:05:10Z</dcterms:modified>
</cp:coreProperties>
</file>