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200003237\Documents\GitHub\documentation\tools\"/>
    </mc:Choice>
  </mc:AlternateContent>
  <xr:revisionPtr revIDLastSave="0" documentId="13_ncr:1_{F0332E76-D6CE-4192-860A-487DEA704DB8}" xr6:coauthVersionLast="46" xr6:coauthVersionMax="46" xr10:uidLastSave="{00000000-0000-0000-0000-000000000000}"/>
  <bookViews>
    <workbookView xWindow="-120" yWindow="-120" windowWidth="29040" windowHeight="14610" xr2:uid="{B8F9F76C-33C1-418E-8852-058650A875FE}"/>
  </bookViews>
  <sheets>
    <sheet name="Instructions" sheetId="3" r:id="rId1"/>
    <sheet name="Enter a formula" sheetId="2" r:id="rId2"/>
    <sheet name="Enter mass fractions" sheetId="4" r:id="rId3"/>
    <sheet name="Data"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 i="2" l="1"/>
  <c r="O23" i="2"/>
  <c r="O36" i="2"/>
  <c r="O32" i="2"/>
  <c r="I24" i="2" l="1"/>
  <c r="F24" i="2"/>
  <c r="E24" i="2"/>
  <c r="D24" i="2"/>
  <c r="H24" i="2" s="1"/>
  <c r="C24" i="2"/>
  <c r="I23" i="2"/>
  <c r="F23" i="2"/>
  <c r="E23" i="2"/>
  <c r="D23" i="2"/>
  <c r="H23" i="2" s="1"/>
  <c r="C23" i="2"/>
  <c r="G23" i="4"/>
  <c r="F23" i="4" s="1"/>
  <c r="G22" i="4"/>
  <c r="F22" i="4" s="1"/>
  <c r="Q6" i="4"/>
  <c r="B33" i="4"/>
  <c r="Q12" i="4"/>
  <c r="Q5" i="4" s="1"/>
  <c r="O12" i="2"/>
  <c r="Q3" i="4"/>
  <c r="O14" i="2"/>
  <c r="Q14" i="4"/>
  <c r="G29" i="4"/>
  <c r="C29" i="4" s="1"/>
  <c r="G28" i="4"/>
  <c r="C28" i="4" s="1"/>
  <c r="G27" i="4"/>
  <c r="C27" i="4" s="1"/>
  <c r="G26" i="4"/>
  <c r="C26" i="4" s="1"/>
  <c r="G25" i="4"/>
  <c r="C25" i="4" s="1"/>
  <c r="G24" i="4"/>
  <c r="C24" i="4" s="1"/>
  <c r="G21" i="4"/>
  <c r="F21" i="4" s="1"/>
  <c r="G20" i="4"/>
  <c r="F20" i="4" s="1"/>
  <c r="G19" i="4"/>
  <c r="C19" i="4" s="1"/>
  <c r="G18" i="4"/>
  <c r="F18" i="4" s="1"/>
  <c r="O3" i="2"/>
  <c r="M99" i="1"/>
  <c r="L99" i="1"/>
  <c r="N99" i="1" s="1"/>
  <c r="M98" i="1"/>
  <c r="L98" i="1"/>
  <c r="N98" i="1" s="1"/>
  <c r="M97" i="1"/>
  <c r="L97" i="1"/>
  <c r="M96" i="1"/>
  <c r="L96" i="1"/>
  <c r="M95" i="1"/>
  <c r="L95" i="1"/>
  <c r="N95" i="1" s="1"/>
  <c r="M94" i="1"/>
  <c r="L94" i="1"/>
  <c r="N94" i="1" s="1"/>
  <c r="M93" i="1"/>
  <c r="L93" i="1"/>
  <c r="N93" i="1" s="1"/>
  <c r="M92" i="1"/>
  <c r="L92" i="1"/>
  <c r="N92" i="1" s="1"/>
  <c r="M91" i="1"/>
  <c r="L91" i="1"/>
  <c r="N91" i="1" s="1"/>
  <c r="M90" i="1"/>
  <c r="L90" i="1"/>
  <c r="N90" i="1" s="1"/>
  <c r="M89" i="1"/>
  <c r="L89" i="1"/>
  <c r="N89" i="1" s="1"/>
  <c r="M88" i="1"/>
  <c r="L88" i="1"/>
  <c r="M87" i="1"/>
  <c r="L87" i="1"/>
  <c r="N87" i="1" s="1"/>
  <c r="M86" i="1"/>
  <c r="L86" i="1"/>
  <c r="N86" i="1" s="1"/>
  <c r="M85" i="1"/>
  <c r="L85" i="1"/>
  <c r="M84" i="1"/>
  <c r="L84" i="1"/>
  <c r="M83" i="1"/>
  <c r="L83" i="1"/>
  <c r="M82" i="1"/>
  <c r="L82" i="1"/>
  <c r="M81" i="1"/>
  <c r="L81" i="1"/>
  <c r="N81" i="1" s="1"/>
  <c r="M80" i="1"/>
  <c r="L80" i="1"/>
  <c r="N80" i="1" s="1"/>
  <c r="M79" i="1"/>
  <c r="L79" i="1"/>
  <c r="M78" i="1"/>
  <c r="L78" i="1"/>
  <c r="M77" i="1"/>
  <c r="L77" i="1"/>
  <c r="M76" i="1"/>
  <c r="L76" i="1"/>
  <c r="M75" i="1"/>
  <c r="L75" i="1"/>
  <c r="N75" i="1" s="1"/>
  <c r="M74" i="1"/>
  <c r="L74" i="1"/>
  <c r="N74" i="1" s="1"/>
  <c r="M73" i="1"/>
  <c r="L73" i="1"/>
  <c r="M72" i="1"/>
  <c r="L72" i="1"/>
  <c r="M71" i="1"/>
  <c r="L71" i="1"/>
  <c r="M70" i="1"/>
  <c r="L70" i="1"/>
  <c r="M69" i="1"/>
  <c r="L69" i="1"/>
  <c r="N69" i="1" s="1"/>
  <c r="M68" i="1"/>
  <c r="L68" i="1"/>
  <c r="N68" i="1" s="1"/>
  <c r="M67" i="1"/>
  <c r="L67" i="1"/>
  <c r="M66" i="1"/>
  <c r="L66" i="1"/>
  <c r="N66" i="1" s="1"/>
  <c r="M65" i="1"/>
  <c r="L65" i="1"/>
  <c r="M64" i="1"/>
  <c r="L64" i="1"/>
  <c r="M63" i="1"/>
  <c r="L63" i="1"/>
  <c r="N63" i="1" s="1"/>
  <c r="M62" i="1"/>
  <c r="L62" i="1"/>
  <c r="N62" i="1" s="1"/>
  <c r="M61" i="1"/>
  <c r="L61" i="1"/>
  <c r="M60" i="1"/>
  <c r="L60" i="1"/>
  <c r="M59" i="1"/>
  <c r="L59" i="1"/>
  <c r="M58" i="1"/>
  <c r="L58" i="1"/>
  <c r="M57" i="1"/>
  <c r="L57" i="1"/>
  <c r="N57" i="1" s="1"/>
  <c r="M56" i="1"/>
  <c r="L56" i="1"/>
  <c r="N56" i="1" s="1"/>
  <c r="M55" i="1"/>
  <c r="L55" i="1"/>
  <c r="M54" i="1"/>
  <c r="L54" i="1"/>
  <c r="M53" i="1"/>
  <c r="L53" i="1"/>
  <c r="N53" i="1" s="1"/>
  <c r="M52" i="1"/>
  <c r="L52" i="1"/>
  <c r="M51" i="1"/>
  <c r="L51" i="1"/>
  <c r="N51" i="1" s="1"/>
  <c r="M50" i="1"/>
  <c r="L50" i="1"/>
  <c r="N50" i="1" s="1"/>
  <c r="M49" i="1"/>
  <c r="L49" i="1"/>
  <c r="M48" i="1"/>
  <c r="L48" i="1"/>
  <c r="N48" i="1" s="1"/>
  <c r="M47" i="1"/>
  <c r="L47" i="1"/>
  <c r="N47" i="1" s="1"/>
  <c r="M46" i="1"/>
  <c r="L46" i="1"/>
  <c r="M45" i="1"/>
  <c r="L45" i="1"/>
  <c r="N45" i="1" s="1"/>
  <c r="M44" i="1"/>
  <c r="L44" i="1"/>
  <c r="N44" i="1" s="1"/>
  <c r="M43" i="1"/>
  <c r="L43" i="1"/>
  <c r="M42" i="1"/>
  <c r="L42" i="1"/>
  <c r="M41" i="1"/>
  <c r="L41" i="1"/>
  <c r="N41" i="1" s="1"/>
  <c r="M40" i="1"/>
  <c r="L40" i="1"/>
  <c r="M39" i="1"/>
  <c r="L39" i="1"/>
  <c r="N39" i="1" s="1"/>
  <c r="M38" i="1"/>
  <c r="L38" i="1"/>
  <c r="N38" i="1" s="1"/>
  <c r="M37" i="1"/>
  <c r="L37" i="1"/>
  <c r="M36" i="1"/>
  <c r="L36" i="1"/>
  <c r="M35" i="1"/>
  <c r="L35" i="1"/>
  <c r="N35" i="1" s="1"/>
  <c r="M34" i="1"/>
  <c r="L34" i="1"/>
  <c r="M33" i="1"/>
  <c r="L33" i="1"/>
  <c r="N33" i="1" s="1"/>
  <c r="M32" i="1"/>
  <c r="L32" i="1"/>
  <c r="N32" i="1" s="1"/>
  <c r="M31" i="1"/>
  <c r="L31" i="1"/>
  <c r="M30" i="1"/>
  <c r="L30" i="1"/>
  <c r="M29" i="1"/>
  <c r="L29" i="1"/>
  <c r="N29" i="1" s="1"/>
  <c r="M28" i="1"/>
  <c r="L28" i="1"/>
  <c r="M27" i="1"/>
  <c r="L27" i="1"/>
  <c r="N27" i="1" s="1"/>
  <c r="M26" i="1"/>
  <c r="L26" i="1"/>
  <c r="N26" i="1" s="1"/>
  <c r="M25" i="1"/>
  <c r="L25" i="1"/>
  <c r="M24" i="1"/>
  <c r="L24" i="1"/>
  <c r="M23" i="1"/>
  <c r="L23" i="1"/>
  <c r="N23" i="1" s="1"/>
  <c r="M22" i="1"/>
  <c r="L22" i="1"/>
  <c r="M21" i="1"/>
  <c r="L21" i="1"/>
  <c r="N21" i="1" s="1"/>
  <c r="M20" i="1"/>
  <c r="L20" i="1"/>
  <c r="N20" i="1" s="1"/>
  <c r="M19" i="1"/>
  <c r="L19" i="1"/>
  <c r="M18" i="1"/>
  <c r="L18" i="1"/>
  <c r="M17" i="1"/>
  <c r="L17" i="1"/>
  <c r="N17" i="1" s="1"/>
  <c r="M16" i="1"/>
  <c r="L16" i="1"/>
  <c r="M15" i="1"/>
  <c r="L15" i="1"/>
  <c r="N15" i="1" s="1"/>
  <c r="M14" i="1"/>
  <c r="L14" i="1"/>
  <c r="N14" i="1" s="1"/>
  <c r="M13" i="1"/>
  <c r="L13" i="1"/>
  <c r="M12" i="1"/>
  <c r="L12" i="1"/>
  <c r="M11" i="1"/>
  <c r="L11" i="1"/>
  <c r="N11" i="1" s="1"/>
  <c r="M10" i="1"/>
  <c r="L10" i="1"/>
  <c r="M9" i="1"/>
  <c r="L9" i="1"/>
  <c r="N9" i="1" s="1"/>
  <c r="M8" i="1"/>
  <c r="L8" i="1"/>
  <c r="N8" i="1" s="1"/>
  <c r="M6" i="1"/>
  <c r="L6" i="1"/>
  <c r="M7" i="1"/>
  <c r="L7" i="1"/>
  <c r="I29" i="2"/>
  <c r="I28" i="2"/>
  <c r="I27" i="2"/>
  <c r="I26" i="2"/>
  <c r="I25" i="2"/>
  <c r="I22" i="2"/>
  <c r="F29" i="2"/>
  <c r="E29" i="2"/>
  <c r="D29" i="2"/>
  <c r="H29" i="2" s="1"/>
  <c r="C29" i="2"/>
  <c r="F28" i="2"/>
  <c r="E28" i="2"/>
  <c r="D28" i="2"/>
  <c r="H28" i="2" s="1"/>
  <c r="C28" i="2"/>
  <c r="F27" i="2"/>
  <c r="E27" i="2"/>
  <c r="D27" i="2"/>
  <c r="H27" i="2" s="1"/>
  <c r="C27" i="2"/>
  <c r="F26" i="2"/>
  <c r="E26" i="2"/>
  <c r="D26" i="2"/>
  <c r="H26" i="2" s="1"/>
  <c r="C26" i="2"/>
  <c r="F25" i="2"/>
  <c r="E25" i="2"/>
  <c r="D25" i="2"/>
  <c r="H25" i="2" s="1"/>
  <c r="C25" i="2"/>
  <c r="F22" i="2"/>
  <c r="E22" i="2"/>
  <c r="D22" i="2"/>
  <c r="H22" i="2" s="1"/>
  <c r="C22" i="2"/>
  <c r="E21" i="2"/>
  <c r="F21" i="2" s="1"/>
  <c r="D21" i="2"/>
  <c r="H21" i="2" s="1"/>
  <c r="C21" i="2"/>
  <c r="O5" i="2" l="1"/>
  <c r="C22" i="4"/>
  <c r="I22" i="4" s="1"/>
  <c r="C23" i="4"/>
  <c r="I23" i="4" s="1"/>
  <c r="O8" i="2"/>
  <c r="C18" i="4"/>
  <c r="H18" i="4" s="1"/>
  <c r="H26" i="4"/>
  <c r="H19" i="4"/>
  <c r="H28" i="4"/>
  <c r="H27" i="4"/>
  <c r="H29" i="4"/>
  <c r="H24" i="4"/>
  <c r="H25" i="4"/>
  <c r="F29" i="4"/>
  <c r="F28" i="4"/>
  <c r="F24" i="4"/>
  <c r="F25" i="4"/>
  <c r="F26" i="4"/>
  <c r="F27" i="4"/>
  <c r="C20" i="4"/>
  <c r="H20" i="4" s="1"/>
  <c r="I24" i="4"/>
  <c r="I25" i="4"/>
  <c r="I26" i="4"/>
  <c r="I27" i="4"/>
  <c r="I28" i="4"/>
  <c r="I29" i="4"/>
  <c r="C21" i="4"/>
  <c r="H21" i="4" s="1"/>
  <c r="I19" i="4"/>
  <c r="F19" i="4"/>
  <c r="N59" i="1"/>
  <c r="N65" i="1"/>
  <c r="N71" i="1"/>
  <c r="N77" i="1"/>
  <c r="N83" i="1"/>
  <c r="N6" i="1"/>
  <c r="N13" i="1"/>
  <c r="N19" i="1"/>
  <c r="N25" i="1"/>
  <c r="N31" i="1"/>
  <c r="N37" i="1"/>
  <c r="N43" i="1"/>
  <c r="N49" i="1"/>
  <c r="N10" i="1"/>
  <c r="N16" i="1"/>
  <c r="N22" i="1"/>
  <c r="N28" i="1"/>
  <c r="N34" i="1"/>
  <c r="N40" i="1"/>
  <c r="N46" i="1"/>
  <c r="N52" i="1"/>
  <c r="N58" i="1"/>
  <c r="N64" i="1"/>
  <c r="N70" i="1"/>
  <c r="N76" i="1"/>
  <c r="N82" i="1"/>
  <c r="N88" i="1"/>
  <c r="N55" i="1"/>
  <c r="N61" i="1"/>
  <c r="N67" i="1"/>
  <c r="N73" i="1"/>
  <c r="N79" i="1"/>
  <c r="N85" i="1"/>
  <c r="N97" i="1"/>
  <c r="N12" i="1"/>
  <c r="N18" i="1"/>
  <c r="N24" i="1"/>
  <c r="N30" i="1"/>
  <c r="N36" i="1"/>
  <c r="N42" i="1"/>
  <c r="N54" i="1"/>
  <c r="N60" i="1"/>
  <c r="N72" i="1"/>
  <c r="N78" i="1"/>
  <c r="N84" i="1"/>
  <c r="N96" i="1"/>
  <c r="N7" i="1"/>
  <c r="O15" i="2"/>
  <c r="E20" i="2"/>
  <c r="F20" i="2" s="1"/>
  <c r="D20" i="2"/>
  <c r="H20" i="2" s="1"/>
  <c r="C20" i="2"/>
  <c r="E19" i="2"/>
  <c r="F19" i="2" s="1"/>
  <c r="D19" i="2"/>
  <c r="H19" i="2" s="1"/>
  <c r="C19" i="2"/>
  <c r="D18" i="2"/>
  <c r="H18" i="2" s="1"/>
  <c r="C18" i="2"/>
  <c r="O9" i="2" s="1"/>
  <c r="F123" i="1"/>
  <c r="E123" i="1"/>
  <c r="F122" i="1"/>
  <c r="E122" i="1"/>
  <c r="G122" i="1" s="1"/>
  <c r="F121" i="1"/>
  <c r="E121" i="1"/>
  <c r="F120" i="1"/>
  <c r="E120" i="1"/>
  <c r="F119" i="1"/>
  <c r="E119" i="1"/>
  <c r="F118" i="1"/>
  <c r="E118" i="1"/>
  <c r="F117" i="1"/>
  <c r="E117" i="1"/>
  <c r="F116" i="1"/>
  <c r="E116" i="1"/>
  <c r="G116" i="1" s="1"/>
  <c r="F115" i="1"/>
  <c r="E115" i="1"/>
  <c r="F114" i="1"/>
  <c r="E114" i="1"/>
  <c r="G114" i="1" s="1"/>
  <c r="F113" i="1"/>
  <c r="E113" i="1"/>
  <c r="F112" i="1"/>
  <c r="E112" i="1"/>
  <c r="F111" i="1"/>
  <c r="E111" i="1"/>
  <c r="F110" i="1"/>
  <c r="E110" i="1"/>
  <c r="G110" i="1" s="1"/>
  <c r="F109" i="1"/>
  <c r="E109" i="1"/>
  <c r="F108" i="1"/>
  <c r="E108" i="1"/>
  <c r="G108" i="1" s="1"/>
  <c r="F107" i="1"/>
  <c r="E107" i="1"/>
  <c r="F106" i="1"/>
  <c r="E106" i="1"/>
  <c r="F105" i="1"/>
  <c r="E105" i="1"/>
  <c r="F104" i="1"/>
  <c r="E104" i="1"/>
  <c r="G104" i="1" s="1"/>
  <c r="F103" i="1"/>
  <c r="E103" i="1"/>
  <c r="F102" i="1"/>
  <c r="E102" i="1"/>
  <c r="G102" i="1" s="1"/>
  <c r="F101" i="1"/>
  <c r="E101" i="1"/>
  <c r="F100" i="1"/>
  <c r="E100" i="1"/>
  <c r="F99" i="1"/>
  <c r="E99" i="1"/>
  <c r="F98" i="1"/>
  <c r="E98" i="1"/>
  <c r="G98" i="1" s="1"/>
  <c r="P98" i="1" s="1"/>
  <c r="Q98" i="1" s="1"/>
  <c r="F97" i="1"/>
  <c r="E97" i="1"/>
  <c r="F96" i="1"/>
  <c r="E96" i="1"/>
  <c r="G96" i="1" s="1"/>
  <c r="F95" i="1"/>
  <c r="E95" i="1"/>
  <c r="F94" i="1"/>
  <c r="E94" i="1"/>
  <c r="F93" i="1"/>
  <c r="E93" i="1"/>
  <c r="F92" i="1"/>
  <c r="E92" i="1"/>
  <c r="G92" i="1" s="1"/>
  <c r="P92" i="1" s="1"/>
  <c r="Q92" i="1" s="1"/>
  <c r="F91" i="1"/>
  <c r="E91" i="1"/>
  <c r="F90" i="1"/>
  <c r="E90" i="1"/>
  <c r="G90" i="1" s="1"/>
  <c r="P90" i="1" s="1"/>
  <c r="Q90" i="1" s="1"/>
  <c r="F89" i="1"/>
  <c r="E89" i="1"/>
  <c r="F88" i="1"/>
  <c r="E88" i="1"/>
  <c r="F87" i="1"/>
  <c r="E87" i="1"/>
  <c r="F86" i="1"/>
  <c r="E86" i="1"/>
  <c r="G86" i="1" s="1"/>
  <c r="P86" i="1" s="1"/>
  <c r="Q86" i="1" s="1"/>
  <c r="F85" i="1"/>
  <c r="E85" i="1"/>
  <c r="F84" i="1"/>
  <c r="E84" i="1"/>
  <c r="G84" i="1" s="1"/>
  <c r="F83" i="1"/>
  <c r="E83" i="1"/>
  <c r="F82" i="1"/>
  <c r="E82" i="1"/>
  <c r="F81" i="1"/>
  <c r="E81" i="1"/>
  <c r="F80" i="1"/>
  <c r="E80" i="1"/>
  <c r="G80" i="1" s="1"/>
  <c r="P80" i="1" s="1"/>
  <c r="Q80" i="1" s="1"/>
  <c r="F79" i="1"/>
  <c r="E79" i="1"/>
  <c r="F78" i="1"/>
  <c r="E78" i="1"/>
  <c r="G78" i="1" s="1"/>
  <c r="F77" i="1"/>
  <c r="E77" i="1"/>
  <c r="F76" i="1"/>
  <c r="E76" i="1"/>
  <c r="F75" i="1"/>
  <c r="E75" i="1"/>
  <c r="F74" i="1"/>
  <c r="E74" i="1"/>
  <c r="G74" i="1" s="1"/>
  <c r="P74" i="1" s="1"/>
  <c r="Q74" i="1" s="1"/>
  <c r="F73" i="1"/>
  <c r="E73" i="1"/>
  <c r="F72" i="1"/>
  <c r="E72" i="1"/>
  <c r="G72" i="1" s="1"/>
  <c r="F71" i="1"/>
  <c r="E71" i="1"/>
  <c r="F70" i="1"/>
  <c r="E70" i="1"/>
  <c r="F69" i="1"/>
  <c r="E69" i="1"/>
  <c r="F68" i="1"/>
  <c r="E68" i="1"/>
  <c r="G68" i="1" s="1"/>
  <c r="P68" i="1" s="1"/>
  <c r="Q68" i="1" s="1"/>
  <c r="F67" i="1"/>
  <c r="E67" i="1"/>
  <c r="F66" i="1"/>
  <c r="E66" i="1"/>
  <c r="G66" i="1" s="1"/>
  <c r="P66" i="1" s="1"/>
  <c r="Q66" i="1" s="1"/>
  <c r="F65" i="1"/>
  <c r="E65" i="1"/>
  <c r="F64" i="1"/>
  <c r="E64" i="1"/>
  <c r="F63" i="1"/>
  <c r="E63" i="1"/>
  <c r="F62" i="1"/>
  <c r="E62" i="1"/>
  <c r="G62" i="1" s="1"/>
  <c r="P62" i="1" s="1"/>
  <c r="Q62" i="1" s="1"/>
  <c r="F61" i="1"/>
  <c r="E61" i="1"/>
  <c r="F60" i="1"/>
  <c r="E60" i="1"/>
  <c r="G60" i="1" s="1"/>
  <c r="F59" i="1"/>
  <c r="E59" i="1"/>
  <c r="F58" i="1"/>
  <c r="E58" i="1"/>
  <c r="F57" i="1"/>
  <c r="E57" i="1"/>
  <c r="F56" i="1"/>
  <c r="E56" i="1"/>
  <c r="G56" i="1" s="1"/>
  <c r="P56" i="1" s="1"/>
  <c r="Q56" i="1" s="1"/>
  <c r="F55" i="1"/>
  <c r="E55" i="1"/>
  <c r="F54" i="1"/>
  <c r="E54" i="1"/>
  <c r="G54" i="1" s="1"/>
  <c r="F53" i="1"/>
  <c r="E53" i="1"/>
  <c r="F52" i="1"/>
  <c r="E52" i="1"/>
  <c r="F51" i="1"/>
  <c r="E51" i="1"/>
  <c r="F50" i="1"/>
  <c r="E50" i="1"/>
  <c r="G50" i="1" s="1"/>
  <c r="P50" i="1" s="1"/>
  <c r="Q50" i="1" s="1"/>
  <c r="F49" i="1"/>
  <c r="E49" i="1"/>
  <c r="F48" i="1"/>
  <c r="E48" i="1"/>
  <c r="G48" i="1" s="1"/>
  <c r="P48" i="1" s="1"/>
  <c r="Q48" i="1" s="1"/>
  <c r="F47" i="1"/>
  <c r="E47" i="1"/>
  <c r="F46" i="1"/>
  <c r="E46" i="1"/>
  <c r="G46" i="1" s="1"/>
  <c r="P46" i="1" s="1"/>
  <c r="Q46" i="1" s="1"/>
  <c r="F45" i="1"/>
  <c r="E45" i="1"/>
  <c r="F44" i="1"/>
  <c r="E44" i="1"/>
  <c r="G44" i="1" s="1"/>
  <c r="E18" i="2" s="1"/>
  <c r="F18" i="2" s="1"/>
  <c r="F43" i="1"/>
  <c r="E43" i="1"/>
  <c r="F42" i="1"/>
  <c r="E42" i="1"/>
  <c r="G42" i="1" s="1"/>
  <c r="F41" i="1"/>
  <c r="E41" i="1"/>
  <c r="F40" i="1"/>
  <c r="E40" i="1"/>
  <c r="F39" i="1"/>
  <c r="E39" i="1"/>
  <c r="F38" i="1"/>
  <c r="E38" i="1"/>
  <c r="G38" i="1" s="1"/>
  <c r="P38" i="1" s="1"/>
  <c r="Q38" i="1" s="1"/>
  <c r="F37" i="1"/>
  <c r="E37" i="1"/>
  <c r="F36" i="1"/>
  <c r="E36" i="1"/>
  <c r="G36" i="1" s="1"/>
  <c r="F35" i="1"/>
  <c r="E35" i="1"/>
  <c r="F34" i="1"/>
  <c r="E34" i="1"/>
  <c r="F33" i="1"/>
  <c r="E33" i="1"/>
  <c r="F32" i="1"/>
  <c r="E32" i="1"/>
  <c r="G32" i="1" s="1"/>
  <c r="P32" i="1" s="1"/>
  <c r="Q32" i="1" s="1"/>
  <c r="F31" i="1"/>
  <c r="E31" i="1"/>
  <c r="F30" i="1"/>
  <c r="E30" i="1"/>
  <c r="G30" i="1" s="1"/>
  <c r="F29" i="1"/>
  <c r="E29" i="1"/>
  <c r="F28" i="1"/>
  <c r="E28" i="1"/>
  <c r="F27" i="1"/>
  <c r="E27" i="1"/>
  <c r="F26" i="1"/>
  <c r="E26" i="1"/>
  <c r="G26" i="1" s="1"/>
  <c r="P26" i="1" s="1"/>
  <c r="Q26" i="1" s="1"/>
  <c r="F25" i="1"/>
  <c r="E25" i="1"/>
  <c r="F24" i="1"/>
  <c r="E24" i="1"/>
  <c r="G24" i="1" s="1"/>
  <c r="F23" i="1"/>
  <c r="E23" i="1"/>
  <c r="F22" i="1"/>
  <c r="E22" i="1"/>
  <c r="F21" i="1"/>
  <c r="E21" i="1"/>
  <c r="F20" i="1"/>
  <c r="E20" i="1"/>
  <c r="G20" i="1" s="1"/>
  <c r="P20" i="1" s="1"/>
  <c r="Q20" i="1" s="1"/>
  <c r="F19" i="1"/>
  <c r="E19" i="1"/>
  <c r="F18" i="1"/>
  <c r="E18" i="1"/>
  <c r="G18" i="1" s="1"/>
  <c r="F17" i="1"/>
  <c r="E17" i="1"/>
  <c r="F16" i="1"/>
  <c r="E16" i="1"/>
  <c r="F15" i="1"/>
  <c r="E15" i="1"/>
  <c r="F14" i="1"/>
  <c r="E14" i="1"/>
  <c r="G14" i="1" s="1"/>
  <c r="P14" i="1" s="1"/>
  <c r="Q14" i="1" s="1"/>
  <c r="F13" i="1"/>
  <c r="E13" i="1"/>
  <c r="F12" i="1"/>
  <c r="E12" i="1"/>
  <c r="G12" i="1" s="1"/>
  <c r="F11" i="1"/>
  <c r="E11" i="1"/>
  <c r="F10" i="1"/>
  <c r="E10" i="1"/>
  <c r="F9" i="1"/>
  <c r="E9" i="1"/>
  <c r="E7" i="1"/>
  <c r="F7" i="1"/>
  <c r="E8" i="1"/>
  <c r="F8" i="1"/>
  <c r="E6" i="1"/>
  <c r="F6" i="1"/>
  <c r="H23" i="4" l="1"/>
  <c r="H22" i="4"/>
  <c r="K23" i="4"/>
  <c r="J23" i="4"/>
  <c r="K22" i="4"/>
  <c r="J22" i="4"/>
  <c r="K29" i="4"/>
  <c r="J29" i="4"/>
  <c r="J19" i="4"/>
  <c r="K28" i="4"/>
  <c r="J28" i="4"/>
  <c r="K27" i="4"/>
  <c r="J27" i="4"/>
  <c r="J26" i="4"/>
  <c r="K26" i="4"/>
  <c r="J25" i="4"/>
  <c r="K25" i="4"/>
  <c r="J24" i="4"/>
  <c r="K24" i="4"/>
  <c r="F33" i="2"/>
  <c r="K19" i="4"/>
  <c r="I20" i="4"/>
  <c r="J20" i="4" s="1"/>
  <c r="I18" i="4"/>
  <c r="K18" i="4" s="1"/>
  <c r="I21" i="4"/>
  <c r="K21" i="4" s="1"/>
  <c r="O6" i="2"/>
  <c r="O4" i="2"/>
  <c r="G52" i="1"/>
  <c r="P52" i="1" s="1"/>
  <c r="Q52" i="1" s="1"/>
  <c r="G58" i="1"/>
  <c r="P58" i="1" s="1"/>
  <c r="Q58" i="1" s="1"/>
  <c r="G64" i="1"/>
  <c r="P64" i="1" s="1"/>
  <c r="Q64" i="1" s="1"/>
  <c r="G70" i="1"/>
  <c r="G76" i="1"/>
  <c r="G82" i="1"/>
  <c r="P82" i="1" s="1"/>
  <c r="Q82" i="1" s="1"/>
  <c r="G88" i="1"/>
  <c r="P88" i="1" s="1"/>
  <c r="Q88" i="1" s="1"/>
  <c r="G94" i="1"/>
  <c r="P94" i="1" s="1"/>
  <c r="Q94" i="1" s="1"/>
  <c r="G100" i="1"/>
  <c r="G106" i="1"/>
  <c r="G13" i="1"/>
  <c r="P13" i="1" s="1"/>
  <c r="Q13" i="1" s="1"/>
  <c r="G19" i="1"/>
  <c r="P19" i="1" s="1"/>
  <c r="Q19" i="1" s="1"/>
  <c r="G25" i="1"/>
  <c r="P25" i="1" s="1"/>
  <c r="Q25" i="1" s="1"/>
  <c r="G31" i="1"/>
  <c r="P31" i="1" s="1"/>
  <c r="Q31" i="1" s="1"/>
  <c r="G37" i="1"/>
  <c r="P37" i="1" s="1"/>
  <c r="Q37" i="1" s="1"/>
  <c r="G43" i="1"/>
  <c r="P43" i="1" s="1"/>
  <c r="Q43" i="1" s="1"/>
  <c r="G49" i="1"/>
  <c r="P49" i="1" s="1"/>
  <c r="Q49" i="1" s="1"/>
  <c r="G55" i="1"/>
  <c r="P55" i="1" s="1"/>
  <c r="Q55" i="1" s="1"/>
  <c r="G61" i="1"/>
  <c r="G67" i="1"/>
  <c r="P67" i="1" s="1"/>
  <c r="Q67" i="1" s="1"/>
  <c r="G73" i="1"/>
  <c r="P73" i="1" s="1"/>
  <c r="Q73" i="1" s="1"/>
  <c r="G79" i="1"/>
  <c r="P79" i="1" s="1"/>
  <c r="Q79" i="1" s="1"/>
  <c r="G85" i="1"/>
  <c r="P85" i="1" s="1"/>
  <c r="Q85" i="1" s="1"/>
  <c r="G91" i="1"/>
  <c r="P91" i="1" s="1"/>
  <c r="Q91" i="1" s="1"/>
  <c r="G97" i="1"/>
  <c r="P97" i="1" s="1"/>
  <c r="Q97" i="1" s="1"/>
  <c r="G103" i="1"/>
  <c r="G109" i="1"/>
  <c r="P76" i="1"/>
  <c r="Q76" i="1" s="1"/>
  <c r="G11" i="1"/>
  <c r="P11" i="1" s="1"/>
  <c r="Q11" i="1" s="1"/>
  <c r="G17" i="1"/>
  <c r="P17" i="1" s="1"/>
  <c r="Q17" i="1" s="1"/>
  <c r="G23" i="1"/>
  <c r="P23" i="1" s="1"/>
  <c r="Q23" i="1" s="1"/>
  <c r="G29" i="1"/>
  <c r="P29" i="1" s="1"/>
  <c r="Q29" i="1" s="1"/>
  <c r="P61" i="1"/>
  <c r="Q61" i="1" s="1"/>
  <c r="G115" i="1"/>
  <c r="P42" i="1"/>
  <c r="Q42" i="1" s="1"/>
  <c r="P70" i="1"/>
  <c r="Q70" i="1" s="1"/>
  <c r="P36" i="1"/>
  <c r="Q36" i="1" s="1"/>
  <c r="P30" i="1"/>
  <c r="Q30" i="1" s="1"/>
  <c r="P44" i="1"/>
  <c r="Q44" i="1" s="1"/>
  <c r="P96" i="1"/>
  <c r="Q96" i="1" s="1"/>
  <c r="P24" i="1"/>
  <c r="Q24" i="1" s="1"/>
  <c r="P18" i="1"/>
  <c r="Q18" i="1" s="1"/>
  <c r="G120" i="1"/>
  <c r="P84" i="1"/>
  <c r="Q84" i="1" s="1"/>
  <c r="P12" i="1"/>
  <c r="Q12" i="1" s="1"/>
  <c r="P78" i="1"/>
  <c r="Q78" i="1" s="1"/>
  <c r="G121" i="1"/>
  <c r="P72" i="1"/>
  <c r="Q72" i="1" s="1"/>
  <c r="P60" i="1"/>
  <c r="Q60" i="1" s="1"/>
  <c r="P54" i="1"/>
  <c r="Q54" i="1" s="1"/>
  <c r="G9" i="1"/>
  <c r="P9" i="1" s="1"/>
  <c r="Q9" i="1" s="1"/>
  <c r="G15" i="1"/>
  <c r="P15" i="1" s="1"/>
  <c r="Q15" i="1" s="1"/>
  <c r="G21" i="1"/>
  <c r="P21" i="1" s="1"/>
  <c r="Q21" i="1" s="1"/>
  <c r="G27" i="1"/>
  <c r="P27" i="1" s="1"/>
  <c r="Q27" i="1" s="1"/>
  <c r="G33" i="1"/>
  <c r="P33" i="1" s="1"/>
  <c r="Q33" i="1" s="1"/>
  <c r="G39" i="1"/>
  <c r="P39" i="1" s="1"/>
  <c r="Q39" i="1" s="1"/>
  <c r="G45" i="1"/>
  <c r="P45" i="1" s="1"/>
  <c r="Q45" i="1" s="1"/>
  <c r="G51" i="1"/>
  <c r="P51" i="1" s="1"/>
  <c r="Q51" i="1" s="1"/>
  <c r="G57" i="1"/>
  <c r="P57" i="1" s="1"/>
  <c r="Q57" i="1" s="1"/>
  <c r="G63" i="1"/>
  <c r="P63" i="1" s="1"/>
  <c r="Q63" i="1" s="1"/>
  <c r="G69" i="1"/>
  <c r="P69" i="1" s="1"/>
  <c r="Q69" i="1" s="1"/>
  <c r="G75" i="1"/>
  <c r="P75" i="1" s="1"/>
  <c r="Q75" i="1" s="1"/>
  <c r="G81" i="1"/>
  <c r="P81" i="1" s="1"/>
  <c r="Q81" i="1" s="1"/>
  <c r="G87" i="1"/>
  <c r="P87" i="1" s="1"/>
  <c r="Q87" i="1" s="1"/>
  <c r="G93" i="1"/>
  <c r="P93" i="1" s="1"/>
  <c r="Q93" i="1" s="1"/>
  <c r="G99" i="1"/>
  <c r="P99" i="1" s="1"/>
  <c r="Q99" i="1" s="1"/>
  <c r="G105" i="1"/>
  <c r="G111" i="1"/>
  <c r="G117" i="1"/>
  <c r="G123" i="1"/>
  <c r="G112" i="1"/>
  <c r="G10" i="1"/>
  <c r="P10" i="1" s="1"/>
  <c r="Q10" i="1" s="1"/>
  <c r="G16" i="1"/>
  <c r="P16" i="1" s="1"/>
  <c r="Q16" i="1" s="1"/>
  <c r="G22" i="1"/>
  <c r="P22" i="1" s="1"/>
  <c r="Q22" i="1" s="1"/>
  <c r="G28" i="1"/>
  <c r="P28" i="1" s="1"/>
  <c r="Q28" i="1" s="1"/>
  <c r="G34" i="1"/>
  <c r="P34" i="1" s="1"/>
  <c r="Q34" i="1" s="1"/>
  <c r="G40" i="1"/>
  <c r="P40" i="1" s="1"/>
  <c r="Q40" i="1" s="1"/>
  <c r="G35" i="1"/>
  <c r="P35" i="1" s="1"/>
  <c r="Q35" i="1" s="1"/>
  <c r="G41" i="1"/>
  <c r="P41" i="1" s="1"/>
  <c r="Q41" i="1" s="1"/>
  <c r="G47" i="1"/>
  <c r="P47" i="1" s="1"/>
  <c r="Q47" i="1" s="1"/>
  <c r="G53" i="1"/>
  <c r="P53" i="1" s="1"/>
  <c r="Q53" i="1" s="1"/>
  <c r="G59" i="1"/>
  <c r="P59" i="1" s="1"/>
  <c r="Q59" i="1" s="1"/>
  <c r="G65" i="1"/>
  <c r="P65" i="1" s="1"/>
  <c r="Q65" i="1" s="1"/>
  <c r="G71" i="1"/>
  <c r="P71" i="1" s="1"/>
  <c r="Q71" i="1" s="1"/>
  <c r="G77" i="1"/>
  <c r="P77" i="1" s="1"/>
  <c r="Q77" i="1" s="1"/>
  <c r="G83" i="1"/>
  <c r="P83" i="1" s="1"/>
  <c r="Q83" i="1" s="1"/>
  <c r="G89" i="1"/>
  <c r="P89" i="1" s="1"/>
  <c r="Q89" i="1" s="1"/>
  <c r="G95" i="1"/>
  <c r="P95" i="1" s="1"/>
  <c r="Q95" i="1" s="1"/>
  <c r="G101" i="1"/>
  <c r="G107" i="1"/>
  <c r="G113" i="1"/>
  <c r="G119" i="1"/>
  <c r="G7" i="1"/>
  <c r="P7" i="1" s="1"/>
  <c r="Q7" i="1" s="1"/>
  <c r="G118" i="1"/>
  <c r="G6" i="1"/>
  <c r="P6" i="1" s="1"/>
  <c r="Q6" i="1" s="1"/>
  <c r="G8" i="1"/>
  <c r="P8" i="1" s="1"/>
  <c r="Q8" i="1" s="1"/>
  <c r="J18" i="4" l="1"/>
  <c r="J21" i="4"/>
  <c r="K20" i="4"/>
  <c r="K34" i="4" l="1"/>
  <c r="J32" i="4"/>
  <c r="I21" i="2"/>
  <c r="I20" i="2"/>
  <c r="I18" i="2"/>
  <c r="I19" i="2"/>
  <c r="K18" i="2" l="1" a="1"/>
  <c r="K18" i="2" s="1"/>
  <c r="M18" i="2" s="1"/>
  <c r="N18" i="2" s="1"/>
  <c r="E22" i="4"/>
  <c r="E23" i="4"/>
  <c r="E28" i="4"/>
  <c r="E29" i="4"/>
  <c r="E26" i="4"/>
  <c r="E27" i="4"/>
  <c r="E19" i="4"/>
  <c r="E25" i="4"/>
  <c r="E21" i="4"/>
  <c r="E24" i="4"/>
  <c r="E18" i="4"/>
  <c r="E20" i="4"/>
  <c r="M28" i="2" l="1"/>
  <c r="M21" i="2"/>
  <c r="N21" i="2" s="1"/>
  <c r="M22" i="2"/>
  <c r="O22" i="2" s="1"/>
  <c r="M27" i="2"/>
  <c r="O27" i="2" s="1"/>
  <c r="M23" i="2"/>
  <c r="M26" i="2"/>
  <c r="N26" i="2" s="1"/>
  <c r="M25" i="2"/>
  <c r="O25" i="2" s="1"/>
  <c r="M29" i="2"/>
  <c r="O29" i="2" s="1"/>
  <c r="M24" i="2"/>
  <c r="M20" i="2"/>
  <c r="N20" i="2" s="1"/>
  <c r="O37" i="2" s="1"/>
  <c r="M19" i="2"/>
  <c r="N19" i="2" s="1"/>
  <c r="O19" i="2" s="1"/>
  <c r="N23" i="2"/>
  <c r="N27" i="2"/>
  <c r="O26" i="2"/>
  <c r="O28" i="2"/>
  <c r="N28" i="2"/>
  <c r="E33" i="4"/>
  <c r="D29" i="4" s="1"/>
  <c r="M18" i="4" a="1"/>
  <c r="Q4" i="4"/>
  <c r="Q8" i="4"/>
  <c r="Q9" i="4"/>
  <c r="O18" i="2"/>
  <c r="Q15" i="4"/>
  <c r="O33" i="2" l="1"/>
  <c r="O21" i="2"/>
  <c r="N25" i="2"/>
  <c r="N22" i="2"/>
  <c r="N29" i="2"/>
  <c r="N24" i="2"/>
  <c r="O20" i="2"/>
  <c r="D22" i="4"/>
  <c r="D23" i="4"/>
  <c r="O23" i="4"/>
  <c r="O22" i="4"/>
  <c r="Q22" i="4" s="1"/>
  <c r="O29" i="4"/>
  <c r="O28" i="4"/>
  <c r="P28" i="4" s="1"/>
  <c r="D27" i="4"/>
  <c r="D28" i="4"/>
  <c r="O27" i="4"/>
  <c r="P27" i="4" s="1"/>
  <c r="O26" i="4"/>
  <c r="P26" i="4" s="1"/>
  <c r="D21" i="4"/>
  <c r="D26" i="4"/>
  <c r="O25" i="4"/>
  <c r="P25" i="4" s="1"/>
  <c r="D20" i="4"/>
  <c r="D18" i="4"/>
  <c r="D19" i="4"/>
  <c r="D25" i="4"/>
  <c r="M18" i="4"/>
  <c r="O18" i="4" s="1"/>
  <c r="P18" i="4" s="1"/>
  <c r="O24" i="4"/>
  <c r="P24" i="4" s="1"/>
  <c r="D24" i="4"/>
  <c r="O20" i="4"/>
  <c r="P20" i="4" s="1"/>
  <c r="O19" i="4"/>
  <c r="P19" i="4" s="1"/>
  <c r="O21" i="4"/>
  <c r="P21" i="4" s="1"/>
  <c r="Q29" i="4" l="1"/>
  <c r="P29" i="4"/>
  <c r="P22" i="4"/>
  <c r="P23" i="4"/>
  <c r="Q23" i="4" s="1"/>
  <c r="Q28" i="4"/>
  <c r="Q26" i="4"/>
  <c r="Q27" i="4"/>
  <c r="Q25" i="4"/>
  <c r="Q24" i="4"/>
  <c r="Q20" i="4"/>
  <c r="Q18" i="4"/>
  <c r="Q19" i="4"/>
  <c r="Q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<sst xmlns="http://schemas.openxmlformats.org/spreadsheetml/2006/main" count="664" uniqueCount="426">
  <si>
    <t>element</t>
  </si>
  <si>
    <t>symbol</t>
  </si>
  <si>
    <t>atomic number</t>
  </si>
  <si>
    <t>atomic weight</t>
  </si>
  <si>
    <t>Elements with an atomic weight given in square brackets have an atomic weight that is given as a range. Elements with an atomic weight in parentheses list the weight of the isotope with the longest half-life.</t>
  </si>
  <si>
    <t>Sources: Commission on Isotopic Abundances and Atomic Weights, "Atomic Weights of the Elements 2015"; and National Nuclear Data Center, Brookhaven National Laboratory, NuDat 2.6.</t>
  </si>
  <si>
    <t>hydrogen</t>
  </si>
  <si>
    <t>H</t>
  </si>
  <si>
    <t>[1.00784, 1.00811]</t>
  </si>
  <si>
    <t>helium</t>
  </si>
  <si>
    <t>He</t>
  </si>
  <si>
    <t>lithium</t>
  </si>
  <si>
    <t>Li</t>
  </si>
  <si>
    <t>[6.938, 6.997]</t>
  </si>
  <si>
    <t>beryllium</t>
  </si>
  <si>
    <t>Be</t>
  </si>
  <si>
    <t>boron</t>
  </si>
  <si>
    <t>B</t>
  </si>
  <si>
    <t>[10.806, 10.821]</t>
  </si>
  <si>
    <t>carbon</t>
  </si>
  <si>
    <t>C</t>
  </si>
  <si>
    <t>[12.0096, 12.0116]</t>
  </si>
  <si>
    <t>nitrogen</t>
  </si>
  <si>
    <t>N</t>
  </si>
  <si>
    <t>[14.00643, 14.00728]</t>
  </si>
  <si>
    <t>oxygen</t>
  </si>
  <si>
    <t>O</t>
  </si>
  <si>
    <t>[15.99903, 15.99977]</t>
  </si>
  <si>
    <t>fluorine</t>
  </si>
  <si>
    <t>F</t>
  </si>
  <si>
    <t>neon</t>
  </si>
  <si>
    <t>Ne</t>
  </si>
  <si>
    <t>sodium</t>
  </si>
  <si>
    <t>Na</t>
  </si>
  <si>
    <t>magnesium</t>
  </si>
  <si>
    <t>Mg</t>
  </si>
  <si>
    <t>[24.304, 24.307]</t>
  </si>
  <si>
    <t>Al</t>
  </si>
  <si>
    <t>silicon</t>
  </si>
  <si>
    <t>Si</t>
  </si>
  <si>
    <t>[28.084, 28.086]</t>
  </si>
  <si>
    <t>phosphorus</t>
  </si>
  <si>
    <t>P</t>
  </si>
  <si>
    <t>S</t>
  </si>
  <si>
    <t>[32.059, 32.076]</t>
  </si>
  <si>
    <t>chlorine</t>
  </si>
  <si>
    <t>Cl</t>
  </si>
  <si>
    <t>[35.446, 35.457]</t>
  </si>
  <si>
    <t>argon</t>
  </si>
  <si>
    <t>Ar</t>
  </si>
  <si>
    <t>potassium</t>
  </si>
  <si>
    <t>K</t>
  </si>
  <si>
    <t>calcium</t>
  </si>
  <si>
    <t>Ca</t>
  </si>
  <si>
    <t>scandium</t>
  </si>
  <si>
    <t>Sc</t>
  </si>
  <si>
    <t>titanium</t>
  </si>
  <si>
    <t>Ti</t>
  </si>
  <si>
    <t>vanadium</t>
  </si>
  <si>
    <t>V</t>
  </si>
  <si>
    <t>chromium</t>
  </si>
  <si>
    <t>Cr</t>
  </si>
  <si>
    <t>manganese</t>
  </si>
  <si>
    <t>Mn</t>
  </si>
  <si>
    <t>iron</t>
  </si>
  <si>
    <t>Fe</t>
  </si>
  <si>
    <t>cobalt</t>
  </si>
  <si>
    <t>Co</t>
  </si>
  <si>
    <t>nickel</t>
  </si>
  <si>
    <t>Ni</t>
  </si>
  <si>
    <t>copper</t>
  </si>
  <si>
    <t>Cu</t>
  </si>
  <si>
    <t>zinc</t>
  </si>
  <si>
    <t>Zn</t>
  </si>
  <si>
    <t>gallium</t>
  </si>
  <si>
    <t>Ga</t>
  </si>
  <si>
    <t>germanium</t>
  </si>
  <si>
    <t>Ge</t>
  </si>
  <si>
    <t>arsenic</t>
  </si>
  <si>
    <t>As</t>
  </si>
  <si>
    <t>selenium</t>
  </si>
  <si>
    <t>Se</t>
  </si>
  <si>
    <t>bromine</t>
  </si>
  <si>
    <t>Br</t>
  </si>
  <si>
    <t>[79.901, 79.907]</t>
  </si>
  <si>
    <t>krypton</t>
  </si>
  <si>
    <t>Kr</t>
  </si>
  <si>
    <t>rubidium</t>
  </si>
  <si>
    <t>Rb</t>
  </si>
  <si>
    <t>strontium</t>
  </si>
  <si>
    <t>Sr</t>
  </si>
  <si>
    <t>yttrium</t>
  </si>
  <si>
    <t>Y</t>
  </si>
  <si>
    <t>zirconium</t>
  </si>
  <si>
    <t>Zr</t>
  </si>
  <si>
    <t>niobium</t>
  </si>
  <si>
    <t>Nb</t>
  </si>
  <si>
    <t>molybdenum</t>
  </si>
  <si>
    <t>Mo</t>
  </si>
  <si>
    <t>technetium</t>
  </si>
  <si>
    <t>Tc</t>
  </si>
  <si>
    <t>ruthenium</t>
  </si>
  <si>
    <t>Ru</t>
  </si>
  <si>
    <t>rhodium</t>
  </si>
  <si>
    <t>Rh</t>
  </si>
  <si>
    <t>palladium</t>
  </si>
  <si>
    <t>Pd</t>
  </si>
  <si>
    <t>silver</t>
  </si>
  <si>
    <t>Ag</t>
  </si>
  <si>
    <t>cadmium</t>
  </si>
  <si>
    <t>Cd</t>
  </si>
  <si>
    <t>indium</t>
  </si>
  <si>
    <t>In</t>
  </si>
  <si>
    <t>tin</t>
  </si>
  <si>
    <t>Sn</t>
  </si>
  <si>
    <t>antimony</t>
  </si>
  <si>
    <t>Sb</t>
  </si>
  <si>
    <t>tellurium</t>
  </si>
  <si>
    <t>Te</t>
  </si>
  <si>
    <t>iodine</t>
  </si>
  <si>
    <t>I</t>
  </si>
  <si>
    <t>xenon</t>
  </si>
  <si>
    <t>Xe</t>
  </si>
  <si>
    <t>Cs</t>
  </si>
  <si>
    <t>barium</t>
  </si>
  <si>
    <t>Ba</t>
  </si>
  <si>
    <t>lanthanum</t>
  </si>
  <si>
    <t>La</t>
  </si>
  <si>
    <t>cerium</t>
  </si>
  <si>
    <t>Ce</t>
  </si>
  <si>
    <t>praseodymium</t>
  </si>
  <si>
    <t>Pr</t>
  </si>
  <si>
    <t>neodymium</t>
  </si>
  <si>
    <t>Nd</t>
  </si>
  <si>
    <t>promethium</t>
  </si>
  <si>
    <t>Pm</t>
  </si>
  <si>
    <t>samarium</t>
  </si>
  <si>
    <t>Sm</t>
  </si>
  <si>
    <t>europium</t>
  </si>
  <si>
    <t>Eu</t>
  </si>
  <si>
    <t>gadolinium</t>
  </si>
  <si>
    <t>Gd</t>
  </si>
  <si>
    <t>terbium</t>
  </si>
  <si>
    <t>Tb</t>
  </si>
  <si>
    <t>dysprosium</t>
  </si>
  <si>
    <t>Dy</t>
  </si>
  <si>
    <t>holmium</t>
  </si>
  <si>
    <t>Ho</t>
  </si>
  <si>
    <t>erbium</t>
  </si>
  <si>
    <t>Er</t>
  </si>
  <si>
    <t>thulium</t>
  </si>
  <si>
    <t>Tm</t>
  </si>
  <si>
    <t>ytterbium</t>
  </si>
  <si>
    <t>Yb</t>
  </si>
  <si>
    <t>lutetium</t>
  </si>
  <si>
    <t>Lu</t>
  </si>
  <si>
    <t>hafnium</t>
  </si>
  <si>
    <t>Hf</t>
  </si>
  <si>
    <t>tantalum</t>
  </si>
  <si>
    <t>Ta</t>
  </si>
  <si>
    <t>W</t>
  </si>
  <si>
    <t>rhenium</t>
  </si>
  <si>
    <t>Re</t>
  </si>
  <si>
    <t>osmium</t>
  </si>
  <si>
    <t>Os</t>
  </si>
  <si>
    <t>iridium</t>
  </si>
  <si>
    <t>Ir</t>
  </si>
  <si>
    <t>platinum</t>
  </si>
  <si>
    <t>Pt</t>
  </si>
  <si>
    <t>gold</t>
  </si>
  <si>
    <t>Au</t>
  </si>
  <si>
    <t>mercury</t>
  </si>
  <si>
    <t>Hg</t>
  </si>
  <si>
    <t>thallium</t>
  </si>
  <si>
    <t>Tl</t>
  </si>
  <si>
    <t>[204.382, 204.385]</t>
  </si>
  <si>
    <t>lead</t>
  </si>
  <si>
    <t>Pb</t>
  </si>
  <si>
    <t>bismuth</t>
  </si>
  <si>
    <t>Bi</t>
  </si>
  <si>
    <t>polonium</t>
  </si>
  <si>
    <t>Po</t>
  </si>
  <si>
    <t>astatine</t>
  </si>
  <si>
    <t>At</t>
  </si>
  <si>
    <t>radon</t>
  </si>
  <si>
    <t>Rn</t>
  </si>
  <si>
    <t>francium</t>
  </si>
  <si>
    <t>Fr</t>
  </si>
  <si>
    <t>radium</t>
  </si>
  <si>
    <t>Ra</t>
  </si>
  <si>
    <t>actinium</t>
  </si>
  <si>
    <t>Ac</t>
  </si>
  <si>
    <t>thorium</t>
  </si>
  <si>
    <t>Th</t>
  </si>
  <si>
    <t>protactinium</t>
  </si>
  <si>
    <t>Pa</t>
  </si>
  <si>
    <t>uranium</t>
  </si>
  <si>
    <t>U</t>
  </si>
  <si>
    <t>neptunium</t>
  </si>
  <si>
    <t>Np</t>
  </si>
  <si>
    <t>plutonium</t>
  </si>
  <si>
    <t>Pu</t>
  </si>
  <si>
    <t>americium</t>
  </si>
  <si>
    <t>Am</t>
  </si>
  <si>
    <t>curium</t>
  </si>
  <si>
    <t>Cm</t>
  </si>
  <si>
    <t>berkelium</t>
  </si>
  <si>
    <t>Bk</t>
  </si>
  <si>
    <t>californium</t>
  </si>
  <si>
    <t>Cf</t>
  </si>
  <si>
    <t>einsteinium</t>
  </si>
  <si>
    <t>Es</t>
  </si>
  <si>
    <t>fermium</t>
  </si>
  <si>
    <t>Fm</t>
  </si>
  <si>
    <t>mendelevium</t>
  </si>
  <si>
    <t>Md</t>
  </si>
  <si>
    <t>nobelium</t>
  </si>
  <si>
    <t>No</t>
  </si>
  <si>
    <t>lawrencium</t>
  </si>
  <si>
    <t>Lr</t>
  </si>
  <si>
    <t>rutherfordium</t>
  </si>
  <si>
    <t>Rf</t>
  </si>
  <si>
    <t>dubnium</t>
  </si>
  <si>
    <t>Db</t>
  </si>
  <si>
    <t>seaborgium</t>
  </si>
  <si>
    <t>Sg</t>
  </si>
  <si>
    <t>bohrium</t>
  </si>
  <si>
    <t>Bh</t>
  </si>
  <si>
    <t>hassium</t>
  </si>
  <si>
    <t>Hs</t>
  </si>
  <si>
    <t>meitnerium</t>
  </si>
  <si>
    <t>Mt</t>
  </si>
  <si>
    <t>darmstadtium</t>
  </si>
  <si>
    <t>Ds</t>
  </si>
  <si>
    <t>roentgenium</t>
  </si>
  <si>
    <t>Rg</t>
  </si>
  <si>
    <t>copernicium</t>
  </si>
  <si>
    <t>Cn</t>
  </si>
  <si>
    <t>ununtrium</t>
  </si>
  <si>
    <t>Uut</t>
  </si>
  <si>
    <t>flerovium</t>
  </si>
  <si>
    <t>Fl</t>
  </si>
  <si>
    <t>ununpentium</t>
  </si>
  <si>
    <t>Uup</t>
  </si>
  <si>
    <t>livermorium</t>
  </si>
  <si>
    <t>Lv</t>
  </si>
  <si>
    <t>ununseptium</t>
  </si>
  <si>
    <t>Uus</t>
  </si>
  <si>
    <t>ununoctium</t>
  </si>
  <si>
    <t>Uuo</t>
  </si>
  <si>
    <t>H. Steffen Peiser
Edward Wichers
The Editors of Encyclopaedia Britannica</t>
  </si>
  <si>
    <t>atomic weight,
low</t>
  </si>
  <si>
    <t>atomic weight,
high</t>
  </si>
  <si>
    <t>aluminum</t>
  </si>
  <si>
    <t>tungsten</t>
  </si>
  <si>
    <t>atomic weight,
average</t>
  </si>
  <si>
    <t>Element</t>
  </si>
  <si>
    <t>Output</t>
  </si>
  <si>
    <t>Atomic
weight</t>
  </si>
  <si>
    <t>Atomic number</t>
  </si>
  <si>
    <t>https://www.britannica.com/science/atomic-weight</t>
  </si>
  <si>
    <t>Convert to text</t>
  </si>
  <si>
    <t>Sort by atomic number</t>
  </si>
  <si>
    <t>Symbol</t>
  </si>
  <si>
    <t>g/cc</t>
  </si>
  <si>
    <r>
      <rPr>
        <b/>
        <i/>
        <sz val="11"/>
        <color theme="1"/>
        <rFont val="Calibri"/>
        <family val="2"/>
        <scheme val="minor"/>
      </rPr>
      <t>Note:</t>
    </r>
    <r>
      <rPr>
        <sz val="11"/>
        <color theme="1"/>
        <rFont val="Calibri"/>
        <family val="2"/>
        <scheme val="minor"/>
      </rPr>
      <t xml:space="preserve"> </t>
    </r>
    <r>
      <rPr>
        <i/>
        <sz val="11"/>
        <color theme="1"/>
        <rFont val="Calibri"/>
        <family val="2"/>
        <scheme val="minor"/>
      </rPr>
      <t>To prevent errors, the sheet is locked except for data-entry cells. To unlock: Format -&gt; Unprotect sheet.</t>
    </r>
  </si>
  <si>
    <t>CatSim material calculator, version</t>
  </si>
  <si>
    <t>1.0</t>
  </si>
  <si>
    <t xml:space="preserve"> </t>
  </si>
  <si>
    <t>Hydrogen</t>
  </si>
  <si>
    <t>Helium</t>
  </si>
  <si>
    <t>Lithium</t>
  </si>
  <si>
    <t>Beryllium</t>
  </si>
  <si>
    <t>Boron</t>
  </si>
  <si>
    <t>Carbon, Graphite</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</si>
  <si>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</si>
  <si>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</si>
  <si>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</si>
  <si>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</si>
  <si>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</si>
  <si>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</si>
  <si>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</si>
  <si>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</si>
  <si>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</si>
  <si>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</si>
  <si>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</si>
  <si>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</si>
  <si>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</si>
  <si>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</si>
  <si>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</si>
  <si>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</si>
  <si>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</si>
  <si>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</si>
  <si>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</si>
  <si>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</si>
  <si>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</si>
  <si>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</si>
  <si>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</si>
  <si>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</si>
  <si>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</si>
  <si>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</si>
  <si>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</si>
  <si>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</si>
  <si>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</si>
  <si>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</si>
  <si>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</si>
  <si>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</si>
  <si>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</si>
  <si>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</si>
  <si>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</si>
  <si>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</si>
  <si>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</si>
  <si>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</si>
  <si>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</si>
  <si>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</si>
  <si>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</si>
  <si>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</si>
  <si>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</si>
  <si>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</si>
  <si>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</si>
  <si>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</si>
  <si>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</si>
  <si>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</si>
  <si>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</si>
  <si>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</si>
  <si>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</si>
  <si>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</si>
  <si>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</si>
  <si>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</si>
  <si>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</si>
  <si>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</si>
  <si>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</si>
  <si>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</si>
  <si>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</si>
  <si>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</si>
  <si>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</si>
  <si>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</si>
  <si>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</si>
  <si>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</si>
  <si>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</si>
  <si>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</si>
  <si>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</si>
  <si>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</si>
  <si>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</si>
  <si>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</si>
  <si>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</si>
  <si>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</si>
  <si>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</si>
  <si>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</si>
  <si>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</si>
  <si>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</si>
  <si>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</si>
  <si>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</si>
  <si>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</si>
  <si>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</si>
  <si>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</si>
  <si>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</si>
  <si>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</si>
  <si>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</si>
  <si>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</si>
  <si>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</si>
  <si>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[1.007, 1.008]</t>
  </si>
  <si>
    <t>[14.006, 14.007]</t>
  </si>
  <si>
    <t>[15.999, 15.999]</t>
  </si>
  <si>
    <t>[98]</t>
  </si>
  <si>
    <t>[145]</t>
  </si>
  <si>
    <t>[209]</t>
  </si>
  <si>
    <t>[210]</t>
  </si>
  <si>
    <t>[222]</t>
  </si>
  <si>
    <t>[223]</t>
  </si>
  <si>
    <t>[226]</t>
  </si>
  <si>
    <t>[227]</t>
  </si>
  <si>
    <t>[237]</t>
  </si>
  <si>
    <t>[244]</t>
  </si>
  <si>
    <t>Difference</t>
  </si>
  <si>
    <t>https://www.nist.gov/pml/atomic-weights-and-isotopic-compositions-relative-atomic-masses</t>
  </si>
  <si>
    <r>
      <rPr>
        <b/>
        <sz val="11"/>
        <color rgb="FFCC3300"/>
        <rFont val="Calibri"/>
        <family val="2"/>
      </rPr>
      <t>←</t>
    </r>
    <r>
      <rPr>
        <b/>
        <i/>
        <sz val="11"/>
        <color rgb="FFCC3300"/>
        <rFont val="Calibri"/>
        <family val="2"/>
      </rPr>
      <t xml:space="preserve"> </t>
    </r>
    <r>
      <rPr>
        <b/>
        <i/>
        <sz val="11"/>
        <color rgb="FFCC3300"/>
        <rFont val="Calibri"/>
        <family val="2"/>
        <scheme val="minor"/>
      </rPr>
      <t>If you revise this tool, change the revision here.</t>
    </r>
  </si>
  <si>
    <t>Density (g/cc)</t>
  </si>
  <si>
    <t>https://physics.nist.gov/PhysRefData/XrayMassCoef/tab1.html</t>
  </si>
  <si>
    <t>3. If a compound or mixture, enter the material name(s):</t>
  </si>
  <si>
    <t xml:space="preserve">      and your source for the material composition:</t>
  </si>
  <si>
    <t>5. Copy the output from the shaded cells to the right, and save in a new text file using the compound name as the filename (no extension).</t>
  </si>
  <si>
    <t>same as density</t>
  </si>
  <si>
    <t xml:space="preserve">   and your source for density:</t>
  </si>
  <si>
    <t>1. In the shaded cells below, enter the elemental symbols and the corresponding numbers of atoms of each element in the compound or mixture.</t>
  </si>
  <si>
    <t>sulfur</t>
  </si>
  <si>
    <t>cesium</t>
  </si>
  <si>
    <t># Number of elements:</t>
  </si>
  <si>
    <t># Atomic number(s) and corresponding mass fraction(s):</t>
  </si>
  <si>
    <t>This tool creates text that can be copied into a text file to be used for input as material data for CatSim.
A "material" can be an element, a compound, or a mixture.
CatSim needs the density (g/cc) of the material, and the mass fractions (decimal form) of each element in the material.</t>
  </si>
  <si>
    <t>For elements, the mass fraction is always 1, but the density is required.
Elemental density data are included in this tool, and can be used to create the material definition text.
However, a different density may be specified. For example, this tool specifies the density of carbon as 1.7 (from NIST data). However, that density would need to be over-ridden to create a material file for diamond, graphite, or amorphous carbon.</t>
  </si>
  <si>
    <t>Mass fraction</t>
  </si>
  <si>
    <t>Unit atomic weight</t>
  </si>
  <si>
    <t>Mass fraction / atomic weight</t>
  </si>
  <si>
    <t>Atomic weight</t>
  </si>
  <si>
    <t>Atomic weight * number of atoms</t>
  </si>
  <si>
    <r>
      <t xml:space="preserve">Atomic number </t>
    </r>
    <r>
      <rPr>
        <i/>
        <sz val="11"/>
        <color theme="1"/>
        <rFont val="Calibri"/>
        <family val="2"/>
        <scheme val="minor"/>
      </rPr>
      <t>repeated for sort</t>
    </r>
  </si>
  <si>
    <t>Number of atoms per Unit</t>
  </si>
  <si>
    <t>fraction of atoms</t>
  </si>
  <si>
    <t>relative number of atoms</t>
  </si>
  <si>
    <t>Mass fraction * atomic weight</t>
  </si>
  <si>
    <t>decimal places.</t>
  </si>
  <si>
    <t>4. The results will be rounded to</t>
  </si>
  <si>
    <t>Enter composition</t>
  </si>
  <si>
    <t>1. In the shaded cells below (Input composition), enter the atomic numbers and the corresponding mass fractions of each element in the compound or mixture.</t>
  </si>
  <si>
    <t>Min. Mass fraction / atomic weight</t>
  </si>
  <si>
    <t>Mass fraction, normalized</t>
  </si>
  <si>
    <t>Sum spec'd m.f.</t>
  </si>
  <si>
    <t xml:space="preserve">Sort by atomic number </t>
  </si>
  <si>
    <t>Input &amp; calculations</t>
  </si>
  <si>
    <t>Number of atoms per molecule</t>
  </si>
  <si>
    <t>Molecu-lar weight</t>
  </si>
  <si>
    <r>
      <t xml:space="preserve">     </t>
    </r>
    <r>
      <rPr>
        <i/>
        <sz val="11"/>
        <color theme="1"/>
        <rFont val="Calibri"/>
        <family val="2"/>
        <scheme val="minor"/>
      </rPr>
      <t>An example or previous entries might be shown; delete and overwrite those entries.</t>
    </r>
  </si>
  <si>
    <r>
      <t xml:space="preserve">2. </t>
    </r>
    <r>
      <rPr>
        <i/>
        <sz val="11"/>
        <color theme="1"/>
        <rFont val="Calibri"/>
        <family val="2"/>
        <scheme val="minor"/>
      </rPr>
      <t>For elements, delete entries in steps 2 and 3, and defaults will apply. Or, you may specify a different density, source, &amp; material name.</t>
    </r>
  </si>
  <si>
    <t xml:space="preserve">     If a compound or mixture, or an element and you want to specify the density, enter the material's density:</t>
  </si>
  <si>
    <t xml:space="preserve">    If a compound or mixture, or an element and you want to specify the density, enter the material's density:</t>
  </si>
  <si>
    <t xml:space="preserve">    and your source for density:</t>
  </si>
  <si>
    <t>For compounds, the chemical formula is usually known, but this needs to be converted to mass fractions.
That conversion requires the atomic weights of the constituant elements. Atomic weight data are included in this tool, and the conversion is performed using those data.
However, the user must know and enter the material's density and the source of that datum.</t>
  </si>
  <si>
    <t>For mixtures (including alloys and doped crystals), the chemical formula is usually not known - there really isn't a "formula", but sometimes a reference might give a formula for a doped crystal. However, more often the elemental mass fractions are given. In these cases, you already have what CatSim needs. However, this tool is useful to convert the mass fractions back to relative numbers of atoms, for insight. Furthermore, this tool can help by reminding the user to enter source information, and the tool produces a uniform file format.</t>
  </si>
  <si>
    <r>
      <t>So, you can either:
1. Enter a chemical formula (e.g. H</t>
    </r>
    <r>
      <rPr>
        <vertAlign val="subscript"/>
        <sz val="11"/>
        <color theme="1"/>
        <rFont val="Calibri"/>
        <family val="2"/>
        <scheme val="minor"/>
      </rPr>
      <t>2</t>
    </r>
    <r>
      <rPr>
        <sz val="11"/>
        <color theme="1"/>
        <rFont val="Calibri"/>
        <family val="2"/>
        <scheme val="minor"/>
      </rPr>
      <t>O) or
2. Enter mass fractions
on the corresponding tabs.</t>
    </r>
  </si>
  <si>
    <t>For NaCl concentration in water, copy these to O23 and O24.</t>
  </si>
  <si>
    <t>For iodine concentration in water, copy these to O22 and O23.</t>
  </si>
  <si>
    <t># Copyright 2022, General Electric Company. All rights reserved. See https://github.com/xcist/code/blob/master/LICENSE</t>
  </si>
  <si>
    <t>water</t>
  </si>
  <si>
    <t>https://physics.nist.gov/PhysRefData/XrayMassCoef/tab2.html</t>
  </si>
  <si>
    <t>"Enter a formula" tab in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</si>
</sst>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0" x14ac:knownFonts="1">
    <font>
      <sz val="11"/>
      <color theme="1"/>
      <name val="Calibri"/>
      <family val="2"/>
      <scheme val="minor"/>
    </font>
    <font>
      <b/>
      <sz val="11"/>
      <color theme="1"/>
      <name val="Calibri"/>
      <family val="2"/>
      <scheme val="minor"/>
    </font>
    <font>
      <b/>
      <sz val="11"/>
      <color theme="1"/>
      <name val="Segoe UI"/>
      <family val="2"/>
    </font>
    <font>
      <sz val="11"/>
      <color theme="1"/>
      <name val="Segoe UI"/>
      <family val="2"/>
    </font>
    <font>
      <i/>
      <sz val="9.9"/>
      <color rgb="FF14599D"/>
      <name val="Segoe UI"/>
      <family val="2"/>
    </font>
    <font>
      <u/>
      <sz val="11"/>
      <color theme="10"/>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4"/>
      <color theme="1"/>
      <name val="Calibri"/>
      <family val="2"/>
      <scheme val="minor"/>
    </font>
    <font>
      <b/>
      <i/>
      <sz val="11"/>
      <name val="Calibri"/>
      <family val="2"/>
      <scheme val="minor"/>
    </font>
    <font>
      <sz val="11"/>
      <color theme="1"/>
      <name val="Calibri"/>
      <family val="2"/>
      <scheme val="minor"/>
    </font>
    <font>
      <b/>
      <sz val="20"/>
      <color theme="1"/>
      <name val="Calibri"/>
      <family val="2"/>
      <scheme val="minor"/>
    </font>
    <font>
      <b/>
      <sz val="11"/>
      <color rgb="FFCC3300"/>
      <name val="Calibri"/>
      <family val="2"/>
      <scheme val="minor"/>
    </font>
    <font>
      <b/>
      <sz val="11"/>
      <color rgb="FFCC3300"/>
      <name val="Calibri"/>
      <family val="2"/>
    </font>
    <font>
      <b/>
      <i/>
      <sz val="11"/>
      <color rgb="FFCC3300"/>
      <name val="Calibri"/>
      <family val="2"/>
    </font>
    <font>
      <b/>
      <i/>
      <sz val="11"/>
      <color rgb="FFCC3300"/>
      <name val="Calibri"/>
      <family val="2"/>
      <scheme val="minor"/>
    </font>
    <font>
      <vertAlign val="subscript"/>
      <sz val="11"/>
      <color theme="1"/>
      <name val="Calibri"/>
      <family val="2"/>
      <scheme val="minor"/>
    </font>
    <font>
      <b/>
      <sz val="12"/>
      <color theme="1"/>
      <name val="Calibri"/>
      <family val="2"/>
      <scheme val="minor"/>
    </font>
    <font>
      <b/>
      <sz val="11"/>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F8F8F8"/>
        <bgColor indexed="64"/>
      </patternFill>
    </fill>
  </fills>
  <borders count="26">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9" fontId="11" fillId="0" borderId="0" applyFont="0" applyFill="0" applyBorder="0" applyAlignment="0" applyProtection="0"/>
  </cellStyleXfs>
  <cellXfs count="137">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0" fillId="0" borderId="0" xfId="0"/>
    <xf numFmtId="0" fontId="0" fillId="0" borderId="0" xfId="0" applyAlignment="1">
      <alignment horizontal="center"/>
    </xf>
    <xf numFmtId="0" fontId="0" fillId="0" borderId="0" xfId="0" applyFill="1"/>
    <xf numFmtId="0" fontId="0" fillId="0" borderId="0" xfId="0" applyFill="1" applyBorder="1"/>
    <xf numFmtId="0" fontId="0" fillId="0" borderId="6" xfId="0" applyFill="1" applyBorder="1"/>
    <xf numFmtId="0" fontId="6" fillId="0" borderId="8" xfId="0" applyFont="1" applyFill="1" applyBorder="1" applyAlignment="1">
      <alignment horizontal="left"/>
    </xf>
    <xf numFmtId="0" fontId="6" fillId="0" borderId="15" xfId="0" applyFont="1" applyFill="1" applyBorder="1" applyAlignment="1">
      <alignment horizontal="left"/>
    </xf>
    <xf numFmtId="0" fontId="1" fillId="0" borderId="0" xfId="0" applyFont="1" applyBorder="1" applyAlignment="1">
      <alignment horizontal="center"/>
    </xf>
    <xf numFmtId="0" fontId="0" fillId="2" borderId="16" xfId="0" applyFill="1" applyBorder="1"/>
    <xf numFmtId="0" fontId="0" fillId="2" borderId="17" xfId="0" applyFill="1" applyBorder="1"/>
    <xf numFmtId="0" fontId="0" fillId="0" borderId="0" xfId="0" applyBorder="1" applyAlignment="1"/>
    <xf numFmtId="0" fontId="6" fillId="0" borderId="0" xfId="0" applyFont="1" applyFill="1" applyBorder="1" applyAlignment="1">
      <alignment horizontal="left"/>
    </xf>
    <xf numFmtId="0" fontId="6" fillId="0" borderId="6" xfId="0" applyFont="1" applyFill="1" applyBorder="1" applyAlignment="1">
      <alignment horizontal="left"/>
    </xf>
    <xf numFmtId="0" fontId="1" fillId="0" borderId="0" xfId="0" quotePrefix="1" applyFont="1" applyAlignment="1"/>
    <xf numFmtId="0" fontId="3" fillId="0" borderId="0" xfId="0" applyFont="1" applyAlignment="1">
      <alignment horizontal="left" vertical="center" wrapText="1"/>
    </xf>
    <xf numFmtId="0" fontId="0" fillId="0" borderId="0" xfId="0" applyFont="1"/>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horizontal="center"/>
    </xf>
    <xf numFmtId="10" fontId="0" fillId="0" borderId="0" xfId="2" applyNumberFormat="1" applyFont="1"/>
    <xf numFmtId="0" fontId="0" fillId="2" borderId="17" xfId="0" applyFill="1" applyBorder="1" applyAlignment="1">
      <alignment horizontal="left"/>
    </xf>
    <xf numFmtId="0" fontId="6" fillId="2" borderId="17" xfId="0" applyFont="1" applyFill="1" applyBorder="1" applyAlignment="1">
      <alignment horizontal="left"/>
    </xf>
    <xf numFmtId="0" fontId="6" fillId="2" borderId="18" xfId="0" applyFont="1" applyFill="1" applyBorder="1" applyAlignment="1">
      <alignment horizontal="left"/>
    </xf>
    <xf numFmtId="164" fontId="2" fillId="0" borderId="0" xfId="0" applyNumberFormat="1" applyFont="1" applyAlignment="1">
      <alignment horizontal="center" vertical="center" wrapText="1"/>
    </xf>
    <xf numFmtId="164" fontId="0" fillId="0" borderId="0" xfId="0" applyNumberFormat="1"/>
    <xf numFmtId="0" fontId="9" fillId="0" borderId="16" xfId="0" applyFont="1" applyBorder="1" applyAlignment="1">
      <alignment horizontal="center" vertical="center"/>
    </xf>
    <xf numFmtId="0" fontId="1" fillId="0" borderId="0" xfId="0" applyFont="1" applyAlignment="1">
      <alignment horizontal="left"/>
    </xf>
    <xf numFmtId="0" fontId="13" fillId="0" borderId="0" xfId="0" applyFont="1" applyAlignment="1"/>
    <xf numFmtId="0" fontId="13" fillId="0" borderId="0" xfId="0" applyFont="1" applyBorder="1" applyAlignment="1"/>
    <xf numFmtId="0" fontId="0" fillId="0" borderId="0" xfId="0"/>
    <xf numFmtId="0" fontId="0" fillId="3" borderId="3"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2" xfId="0" applyFill="1" applyBorder="1" applyAlignment="1" applyProtection="1">
      <alignment horizontal="center"/>
    </xf>
    <xf numFmtId="0" fontId="0" fillId="0" borderId="3" xfId="0" applyFill="1" applyBorder="1" applyAlignment="1" applyProtection="1">
      <alignment horizontal="center"/>
    </xf>
    <xf numFmtId="0" fontId="0" fillId="0" borderId="4" xfId="0" applyFill="1" applyBorder="1" applyAlignment="1" applyProtection="1">
      <alignment horizontal="center"/>
    </xf>
    <xf numFmtId="0" fontId="0" fillId="0" borderId="25" xfId="0" applyFill="1" applyBorder="1" applyAlignment="1" applyProtection="1">
      <alignment horizontal="center"/>
    </xf>
    <xf numFmtId="0" fontId="0" fillId="0" borderId="0" xfId="0" applyBorder="1"/>
    <xf numFmtId="0" fontId="0" fillId="0" borderId="6" xfId="0" applyBorder="1"/>
    <xf numFmtId="0" fontId="1" fillId="0" borderId="18" xfId="0" applyFont="1" applyBorder="1"/>
    <xf numFmtId="0" fontId="1" fillId="0" borderId="18" xfId="0" applyFont="1" applyBorder="1" applyAlignment="1">
      <alignment wrapText="1"/>
    </xf>
    <xf numFmtId="10" fontId="0" fillId="0" borderId="0" xfId="0" applyNumberFormat="1" applyFill="1" applyBorder="1" applyAlignment="1" applyProtection="1">
      <alignment horizontal="center"/>
    </xf>
    <xf numFmtId="10" fontId="0" fillId="0" borderId="6" xfId="0" applyNumberFormat="1" applyFill="1" applyBorder="1" applyAlignment="1" applyProtection="1">
      <alignment horizontal="center"/>
    </xf>
    <xf numFmtId="10" fontId="0" fillId="0" borderId="0" xfId="0" applyNumberFormat="1" applyFill="1" applyBorder="1" applyAlignment="1" applyProtection="1">
      <alignment horizontal="right" indent="1"/>
    </xf>
    <xf numFmtId="0" fontId="1" fillId="0" borderId="18" xfId="0" applyFont="1" applyFill="1" applyBorder="1"/>
    <xf numFmtId="0" fontId="0" fillId="0" borderId="2" xfId="0" applyBorder="1" applyAlignment="1"/>
    <xf numFmtId="0" fontId="9" fillId="0" borderId="2" xfId="0" applyFont="1" applyBorder="1" applyAlignment="1"/>
    <xf numFmtId="0" fontId="1" fillId="3" borderId="22" xfId="0" applyFont="1" applyFill="1" applyBorder="1" applyAlignment="1" applyProtection="1">
      <alignment horizontal="center"/>
      <protection locked="0"/>
    </xf>
    <xf numFmtId="0" fontId="0" fillId="3" borderId="2" xfId="0" applyFill="1" applyBorder="1" applyAlignment="1" applyProtection="1">
      <alignment horizontal="center"/>
      <protection locked="0"/>
    </xf>
    <xf numFmtId="0" fontId="0" fillId="3" borderId="4" xfId="0" applyFill="1" applyBorder="1" applyAlignment="1" applyProtection="1">
      <alignment horizontal="center"/>
      <protection locked="0"/>
    </xf>
    <xf numFmtId="164" fontId="1" fillId="0" borderId="18" xfId="0" applyNumberFormat="1" applyFont="1" applyBorder="1" applyAlignment="1">
      <alignment horizontal="center"/>
    </xf>
    <xf numFmtId="11" fontId="0" fillId="0" borderId="0" xfId="0" applyNumberFormat="1"/>
    <xf numFmtId="0" fontId="0" fillId="0" borderId="0" xfId="0"/>
    <xf numFmtId="165" fontId="1" fillId="3" borderId="22" xfId="0" applyNumberFormat="1" applyFont="1" applyFill="1" applyBorder="1" applyAlignment="1" applyProtection="1">
      <alignment horizontal="center"/>
      <protection locked="0"/>
    </xf>
    <xf numFmtId="165" fontId="1" fillId="3" borderId="16" xfId="0" applyNumberFormat="1" applyFont="1" applyFill="1" applyBorder="1" applyAlignment="1" applyProtection="1">
      <alignment horizontal="center"/>
      <protection locked="0"/>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18" fillId="0" borderId="0" xfId="0" applyFont="1" applyAlignment="1">
      <alignment horizontal="left" vertical="top" wrapText="1"/>
    </xf>
    <xf numFmtId="0" fontId="1" fillId="0" borderId="3" xfId="0" applyFont="1" applyBorder="1" applyAlignment="1">
      <alignment horizontal="center" wrapText="1"/>
    </xf>
    <xf numFmtId="0" fontId="1" fillId="0" borderId="24"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0" fillId="0" borderId="0" xfId="0" applyAlignment="1">
      <alignment horizontal="left" wrapText="1"/>
    </xf>
    <xf numFmtId="0" fontId="0" fillId="0" borderId="0" xfId="0" applyBorder="1" applyAlignment="1">
      <alignment horizontal="left"/>
    </xf>
    <xf numFmtId="0" fontId="0" fillId="0" borderId="3" xfId="0" applyBorder="1" applyAlignment="1">
      <alignment horizontal="left"/>
    </xf>
    <xf numFmtId="0" fontId="18" fillId="0" borderId="1" xfId="0" applyFont="1" applyBorder="1" applyAlignment="1">
      <alignment horizontal="center" wrapText="1"/>
    </xf>
    <xf numFmtId="0" fontId="18" fillId="0" borderId="23" xfId="0" applyFont="1" applyBorder="1" applyAlignment="1">
      <alignment horizontal="center" wrapText="1"/>
    </xf>
    <xf numFmtId="0" fontId="18" fillId="0" borderId="2" xfId="0" applyFont="1" applyBorder="1" applyAlignment="1">
      <alignment horizontal="center" wrapText="1"/>
    </xf>
    <xf numFmtId="0" fontId="18" fillId="0" borderId="3" xfId="0" applyFont="1" applyBorder="1" applyAlignment="1">
      <alignment horizontal="center" wrapText="1"/>
    </xf>
    <xf numFmtId="0" fontId="10" fillId="0" borderId="5" xfId="0" applyFont="1" applyFill="1" applyBorder="1" applyAlignment="1">
      <alignment horizontal="center"/>
    </xf>
    <xf numFmtId="0" fontId="10" fillId="0" borderId="13" xfId="0" applyFont="1" applyFill="1" applyBorder="1" applyAlignment="1">
      <alignment horizontal="center"/>
    </xf>
    <xf numFmtId="0" fontId="10" fillId="0" borderId="0" xfId="0" applyFont="1" applyFill="1" applyBorder="1" applyAlignment="1">
      <alignment horizontal="center"/>
    </xf>
    <xf numFmtId="0" fontId="10" fillId="0" borderId="9" xfId="0" applyFont="1" applyFill="1" applyBorder="1" applyAlignment="1">
      <alignment horizontal="center"/>
    </xf>
    <xf numFmtId="0" fontId="10" fillId="0" borderId="12" xfId="0" applyFont="1" applyFill="1" applyBorder="1" applyAlignment="1">
      <alignment horizontal="center"/>
    </xf>
    <xf numFmtId="0" fontId="10" fillId="0" borderId="8" xfId="0" applyFont="1" applyFill="1" applyBorder="1" applyAlignment="1">
      <alignment horizontal="center"/>
    </xf>
    <xf numFmtId="0" fontId="1" fillId="3" borderId="2" xfId="0" applyFont="1" applyFill="1" applyBorder="1" applyAlignment="1" applyProtection="1">
      <alignment horizontal="left"/>
      <protection locked="0"/>
    </xf>
    <xf numFmtId="0" fontId="1" fillId="3" borderId="0" xfId="0" applyFont="1" applyFill="1" applyBorder="1" applyAlignment="1" applyProtection="1">
      <alignment horizontal="left"/>
      <protection locked="0"/>
    </xf>
    <xf numFmtId="0" fontId="1" fillId="3" borderId="19" xfId="0" applyFont="1" applyFill="1" applyBorder="1" applyAlignment="1" applyProtection="1">
      <alignment horizontal="left"/>
      <protection locked="0"/>
    </xf>
    <xf numFmtId="0" fontId="1" fillId="3" borderId="20" xfId="0" applyFont="1" applyFill="1" applyBorder="1" applyAlignment="1" applyProtection="1">
      <alignment horizontal="left"/>
      <protection locked="0"/>
    </xf>
    <xf numFmtId="0" fontId="1" fillId="3" borderId="21" xfId="0" applyFont="1" applyFill="1" applyBorder="1" applyAlignment="1" applyProtection="1">
      <alignment horizontal="left"/>
      <protection locked="0"/>
    </xf>
    <xf numFmtId="0" fontId="1" fillId="0" borderId="5" xfId="0" applyFont="1" applyBorder="1" applyAlignment="1">
      <alignment horizontal="center"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0" fillId="0" borderId="0" xfId="0" applyBorder="1" applyAlignment="1">
      <alignment horizontal="left" wrapText="1"/>
    </xf>
    <xf numFmtId="0" fontId="19" fillId="3" borderId="19" xfId="1" applyFont="1" applyFill="1" applyBorder="1" applyProtection="1">
      <protection locked="0"/>
    </xf>
    <xf numFmtId="0" fontId="19" fillId="3" borderId="20" xfId="1" applyFont="1" applyFill="1" applyBorder="1" applyProtection="1">
      <protection locked="0"/>
    </xf>
    <xf numFmtId="0" fontId="19" fillId="3" borderId="21" xfId="1" applyFont="1" applyFill="1" applyBorder="1" applyProtection="1">
      <protection locked="0"/>
    </xf>
    <xf numFmtId="0" fontId="9" fillId="0" borderId="19" xfId="0" applyFont="1" applyBorder="1" applyAlignment="1">
      <alignment horizontal="center"/>
    </xf>
    <xf numFmtId="0" fontId="9" fillId="0" borderId="20" xfId="0" applyFont="1" applyBorder="1" applyAlignment="1">
      <alignment horizontal="center"/>
    </xf>
    <xf numFmtId="0" fontId="9" fillId="0" borderId="21" xfId="0" applyFont="1" applyBorder="1" applyAlignment="1">
      <alignment horizontal="center"/>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9" xfId="0" applyFont="1" applyFill="1" applyBorder="1" applyAlignment="1">
      <alignment horizontal="center" wrapText="1"/>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1" fillId="0" borderId="10" xfId="0" applyFont="1" applyFill="1" applyBorder="1" applyAlignment="1">
      <alignment horizontal="center" wrapText="1"/>
    </xf>
    <xf numFmtId="0" fontId="0" fillId="0" borderId="2" xfId="0" applyBorder="1" applyAlignment="1">
      <alignment horizontal="left"/>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8" xfId="0" applyFont="1" applyFill="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11" xfId="0" applyFont="1" applyBorder="1" applyAlignment="1">
      <alignment horizontal="center"/>
    </xf>
    <xf numFmtId="0" fontId="0" fillId="0" borderId="2" xfId="0" applyBorder="1" applyAlignment="1">
      <alignment horizontal="left" wrapText="1"/>
    </xf>
    <xf numFmtId="0" fontId="1" fillId="0" borderId="1" xfId="0" applyFont="1" applyBorder="1" applyAlignment="1">
      <alignment horizontal="center"/>
    </xf>
    <xf numFmtId="0" fontId="1" fillId="0" borderId="23" xfId="0" applyFont="1" applyBorder="1" applyAlignment="1">
      <alignment horizontal="center" wrapText="1"/>
    </xf>
    <xf numFmtId="0" fontId="0" fillId="0" borderId="1" xfId="0" applyBorder="1" applyAlignment="1">
      <alignment horizontal="left"/>
    </xf>
    <xf numFmtId="0" fontId="0" fillId="0" borderId="5" xfId="0" applyBorder="1" applyAlignment="1">
      <alignment horizontal="left"/>
    </xf>
    <xf numFmtId="0" fontId="9" fillId="0" borderId="2" xfId="0" applyFont="1" applyBorder="1" applyAlignment="1">
      <alignment horizontal="center"/>
    </xf>
    <xf numFmtId="0" fontId="9" fillId="0" borderId="0" xfId="0"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4" xfId="0" applyFont="1" applyBorder="1" applyAlignment="1">
      <alignment horizontal="center" wrapText="1"/>
    </xf>
    <xf numFmtId="0" fontId="10" fillId="0" borderId="5" xfId="0" applyFont="1" applyFill="1" applyBorder="1" applyAlignment="1">
      <alignment horizontal="center" wrapText="1"/>
    </xf>
    <xf numFmtId="0" fontId="10" fillId="0" borderId="13" xfId="0" applyFont="1" applyFill="1" applyBorder="1" applyAlignment="1">
      <alignment horizontal="center" wrapText="1"/>
    </xf>
    <xf numFmtId="0" fontId="10" fillId="0" borderId="0" xfId="0" applyFont="1" applyFill="1" applyBorder="1" applyAlignment="1">
      <alignment horizontal="center" wrapText="1"/>
    </xf>
    <xf numFmtId="0" fontId="10" fillId="0" borderId="9" xfId="0" applyFont="1" applyFill="1" applyBorder="1" applyAlignment="1">
      <alignment horizontal="center" wrapText="1"/>
    </xf>
    <xf numFmtId="0" fontId="1" fillId="0" borderId="4" xfId="0" applyFont="1" applyBorder="1" applyAlignment="1">
      <alignment horizontal="left"/>
    </xf>
    <xf numFmtId="0" fontId="1" fillId="0" borderId="6" xfId="0" applyFont="1" applyBorder="1" applyAlignment="1">
      <alignment horizontal="left"/>
    </xf>
    <xf numFmtId="0" fontId="12" fillId="0" borderId="0" xfId="0" applyFont="1" applyAlignment="1">
      <alignment horizontal="center" textRotation="90"/>
    </xf>
    <xf numFmtId="0" fontId="5" fillId="0" borderId="0" xfId="1" applyAlignment="1">
      <alignment horizontal="center" vertical="center"/>
    </xf>
    <xf numFmtId="0" fontId="0" fillId="0" borderId="0" xfId="0" applyAlignment="1">
      <alignment horizontal="center" vertical="center"/>
    </xf>
    <xf numFmtId="0" fontId="5" fillId="0" borderId="0" xfId="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8F8F8"/>
      <color rgb="FFCCFFFF"/>
      <color rgb="FFFFCCFF"/>
      <color rgb="FFCC330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physics.nist.gov/PhysRefData/XrayMassCoef/tab1.html" TargetMode="External"/><Relationship Id="rId2" Type="http://schemas.openxmlformats.org/officeDocument/2006/relationships/hyperlink" Target="https://www.nist.gov/pml/atomic-weights-and-isotopic-compositions-relative-atomic-masses" TargetMode="External"/><Relationship Id="rId1" Type="http://schemas.openxmlformats.org/officeDocument/2006/relationships/hyperlink" Target="https://www.britannica.com/science/atomic-weight"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CB8E5-6694-4F1B-B671-195116FAC06A}">
  <dimension ref="A1:L8"/>
  <sheetViews>
    <sheetView tabSelected="1" topLeftCell="A4" workbookViewId="0">
      <selection activeCell="A4" sqref="A4:C4"/>
    </sheetView>
  </sheetViews>
  <sheetFormatPr defaultRowHeight="15" x14ac:dyDescent="0.25"/>
  <cols>
    <col min="1" max="1" width="32.42578125" customWidth="1"/>
    <col min="2" max="2" width="9.140625" customWidth="1"/>
    <col min="3" max="3" width="81.28515625" customWidth="1"/>
  </cols>
  <sheetData>
    <row r="1" spans="1:12" x14ac:dyDescent="0.25">
      <c r="A1" s="29" t="s">
        <v>266</v>
      </c>
      <c r="B1" s="16" t="s">
        <v>267</v>
      </c>
      <c r="C1" s="30" t="s">
        <v>376</v>
      </c>
      <c r="D1" s="30"/>
      <c r="E1" s="30"/>
      <c r="F1" s="30"/>
      <c r="G1" s="30"/>
      <c r="H1" s="30"/>
      <c r="I1" s="30"/>
      <c r="J1" s="30"/>
      <c r="K1" s="30"/>
      <c r="L1" s="31"/>
    </row>
    <row r="2" spans="1:12" x14ac:dyDescent="0.25">
      <c r="A2" s="59"/>
      <c r="B2" s="59"/>
      <c r="C2" s="59"/>
    </row>
    <row r="3" spans="1:12" ht="75" customHeight="1" x14ac:dyDescent="0.25">
      <c r="A3" s="60" t="s">
        <v>389</v>
      </c>
      <c r="B3" s="61"/>
      <c r="C3" s="61"/>
    </row>
    <row r="4" spans="1:12" s="54" customFormat="1" ht="24" customHeight="1" x14ac:dyDescent="0.25">
      <c r="A4" s="64" t="s">
        <v>422</v>
      </c>
      <c r="B4" s="64"/>
      <c r="C4" s="64"/>
    </row>
    <row r="5" spans="1:12" s="3" customFormat="1" ht="75" customHeight="1" x14ac:dyDescent="0.25">
      <c r="A5" s="57" t="s">
        <v>390</v>
      </c>
      <c r="B5" s="58"/>
      <c r="C5" s="58"/>
    </row>
    <row r="6" spans="1:12" s="3" customFormat="1" ht="75" customHeight="1" x14ac:dyDescent="0.25">
      <c r="A6" s="57" t="s">
        <v>417</v>
      </c>
      <c r="B6" s="58"/>
      <c r="C6" s="58"/>
    </row>
    <row r="7" spans="1:12" s="3" customFormat="1" ht="75" customHeight="1" x14ac:dyDescent="0.25">
      <c r="A7" s="57" t="s">
        <v>418</v>
      </c>
      <c r="B7" s="58"/>
      <c r="C7" s="58"/>
    </row>
    <row r="8" spans="1:12" ht="75" customHeight="1" x14ac:dyDescent="0.25">
      <c r="A8" s="62" t="s">
        <v>419</v>
      </c>
      <c r="B8" s="63"/>
      <c r="C8" s="63"/>
    </row>
  </sheetData>
  <mergeCells count="7">
    <mergeCell ref="A7:C7"/>
    <mergeCell ref="A6:C6"/>
    <mergeCell ref="A2:C2"/>
    <mergeCell ref="A3:C3"/>
    <mergeCell ref="A8:C8"/>
    <mergeCell ref="A5:C5"/>
    <mergeCell ref="A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4929-57FE-4A9D-B51A-4CE49032E816}">
  <dimension ref="A1:P37"/>
  <sheetViews>
    <sheetView zoomScale="90" zoomScaleNormal="90" workbookViewId="0">
      <selection activeCell="L5" sqref="L5"/>
    </sheetView>
  </sheetViews>
  <sheetFormatPr defaultRowHeight="15" x14ac:dyDescent="0.25"/>
  <cols>
    <col min="1" max="2" width="9.140625" style="4"/>
    <col min="3" max="3" width="13.85546875" customWidth="1"/>
    <col min="7" max="7" width="4.7109375" customWidth="1"/>
    <col min="8" max="8" width="9.140625" style="3"/>
    <col min="9" max="9" width="10.7109375" customWidth="1"/>
    <col min="10" max="10" width="4.7109375" style="5" customWidth="1"/>
    <col min="11" max="14" width="10.7109375" style="5" customWidth="1"/>
    <col min="15" max="15" width="110.7109375" customWidth="1"/>
  </cols>
  <sheetData>
    <row r="1" spans="1:16" s="3" customFormat="1" ht="19.5" thickBot="1" x14ac:dyDescent="0.35">
      <c r="A1" s="94" t="s">
        <v>409</v>
      </c>
      <c r="B1" s="95"/>
      <c r="C1" s="95"/>
      <c r="D1" s="95"/>
      <c r="E1" s="95"/>
      <c r="F1" s="95"/>
      <c r="G1" s="95"/>
      <c r="H1" s="95"/>
      <c r="I1" s="95"/>
      <c r="J1" s="95"/>
      <c r="K1" s="95"/>
      <c r="L1" s="95"/>
      <c r="M1" s="95"/>
      <c r="N1" s="96"/>
      <c r="O1" s="28" t="s">
        <v>257</v>
      </c>
      <c r="P1" s="48"/>
    </row>
    <row r="2" spans="1:16" ht="15" customHeight="1" x14ac:dyDescent="0.25">
      <c r="A2" s="69" t="s">
        <v>384</v>
      </c>
      <c r="B2" s="69"/>
      <c r="C2" s="69"/>
      <c r="D2" s="69"/>
      <c r="E2" s="69"/>
      <c r="F2" s="69"/>
      <c r="G2" s="69"/>
      <c r="H2" s="69"/>
      <c r="I2" s="69"/>
      <c r="J2" s="69"/>
      <c r="K2" s="69"/>
      <c r="L2" s="69"/>
      <c r="M2" s="69"/>
      <c r="N2" s="69"/>
      <c r="O2" s="11" t="s">
        <v>422</v>
      </c>
    </row>
    <row r="3" spans="1:16" s="3" customFormat="1" ht="15" customHeight="1" x14ac:dyDescent="0.25">
      <c r="A3" s="69" t="s">
        <v>412</v>
      </c>
      <c r="B3" s="69"/>
      <c r="C3" s="69"/>
      <c r="D3" s="69"/>
      <c r="E3" s="69"/>
      <c r="F3" s="69"/>
      <c r="G3" s="69"/>
      <c r="H3" s="69"/>
      <c r="I3" s="69"/>
      <c r="J3" s="69"/>
      <c r="K3" s="69"/>
      <c r="L3" s="69"/>
      <c r="M3" s="69"/>
      <c r="N3" s="90"/>
      <c r="O3" s="12" t="str">
        <f>CONCATENATE("# Made with ",Instructions!A$1, " ",Instructions!B$1, ".")</f>
        <v># Made with CatSim material calculator, version 1.0.</v>
      </c>
    </row>
    <row r="4" spans="1:16" ht="15" customHeight="1" thickBot="1" x14ac:dyDescent="0.3">
      <c r="A4" s="69" t="s">
        <v>413</v>
      </c>
      <c r="B4" s="69"/>
      <c r="C4" s="69"/>
      <c r="D4" s="69"/>
      <c r="E4" s="69"/>
      <c r="F4" s="69"/>
      <c r="G4" s="69"/>
      <c r="H4" s="69"/>
      <c r="I4" s="69"/>
      <c r="J4" s="69"/>
      <c r="K4" s="69"/>
      <c r="L4" s="69"/>
      <c r="M4" s="69"/>
      <c r="N4" s="90"/>
      <c r="O4" s="23" t="str">
        <f>IF(O12&lt;&gt;"1", CONCATENATE("# Molecular weights from ", Data!$I$1, "."), "")</f>
        <v># Molecular weights from https://www.nist.gov/pml/atomic-weights-and-isotopic-compositions-relative-atomic-masses.</v>
      </c>
    </row>
    <row r="5" spans="1:16" s="3" customFormat="1" ht="15" customHeight="1" thickBot="1" x14ac:dyDescent="0.3">
      <c r="A5" s="70" t="s">
        <v>414</v>
      </c>
      <c r="B5" s="70"/>
      <c r="C5" s="70"/>
      <c r="D5" s="70"/>
      <c r="E5" s="70"/>
      <c r="F5" s="70"/>
      <c r="G5" s="70"/>
      <c r="H5" s="70"/>
      <c r="I5" s="70"/>
      <c r="J5" s="70"/>
      <c r="K5" s="71"/>
      <c r="L5" s="56">
        <v>1</v>
      </c>
      <c r="M5" s="10" t="s">
        <v>264</v>
      </c>
      <c r="N5" s="13"/>
      <c r="O5" s="23" t="str">
        <f>IF(AND($O$12="1",ISBLANK($L$5),ISBLANK($D$6)),CONCATENATE("# Density from ", Data!$S$1, "."), IF(ISBLANK($D$6),"# Density source not specified.",_xlfn.CONCAT("# Density source: ",$D$6)))</f>
        <v># Density source: https://physics.nist.gov/PhysRefData/XrayMassCoef/tab2.html</v>
      </c>
    </row>
    <row r="6" spans="1:16" s="3" customFormat="1" ht="15" customHeight="1" thickBot="1" x14ac:dyDescent="0.3">
      <c r="A6" s="70" t="s">
        <v>383</v>
      </c>
      <c r="B6" s="70"/>
      <c r="C6" s="70"/>
      <c r="D6" s="91" t="s">
        <v>424</v>
      </c>
      <c r="E6" s="92"/>
      <c r="F6" s="92"/>
      <c r="G6" s="92"/>
      <c r="H6" s="92"/>
      <c r="I6" s="92"/>
      <c r="J6" s="92"/>
      <c r="K6" s="92"/>
      <c r="L6" s="92"/>
      <c r="M6" s="92"/>
      <c r="N6" s="93"/>
      <c r="O6" s="23" t="str">
        <f>IF($O$12="1", IF(ISBLANK($F$8), "", #N/A), IF(ISBLANK($F$8), "# Material composition source not specified.", CONCATENATE("# Material composition source: ",$F$8)))</f>
        <v># Material composition source: same as density</v>
      </c>
    </row>
    <row r="7" spans="1:16" s="3" customFormat="1" ht="15" customHeight="1" thickBot="1" x14ac:dyDescent="0.3">
      <c r="A7" s="70" t="s">
        <v>379</v>
      </c>
      <c r="B7" s="70"/>
      <c r="C7" s="70"/>
      <c r="D7" s="70"/>
      <c r="E7" s="70"/>
      <c r="F7" s="71"/>
      <c r="G7" s="82" t="s">
        <v>423</v>
      </c>
      <c r="H7" s="83"/>
      <c r="I7" s="83"/>
      <c r="J7" s="83"/>
      <c r="K7" s="83"/>
      <c r="L7" s="83"/>
      <c r="M7" s="83"/>
      <c r="N7" s="83"/>
      <c r="O7" s="24"/>
    </row>
    <row r="8" spans="1:16" s="3" customFormat="1" ht="15.75" customHeight="1" thickBot="1" x14ac:dyDescent="0.3">
      <c r="A8" s="70" t="s">
        <v>380</v>
      </c>
      <c r="B8" s="70"/>
      <c r="C8" s="70"/>
      <c r="D8" s="70"/>
      <c r="E8" s="70"/>
      <c r="F8" s="84" t="s">
        <v>382</v>
      </c>
      <c r="G8" s="85"/>
      <c r="H8" s="85"/>
      <c r="I8" s="85"/>
      <c r="J8" s="85"/>
      <c r="K8" s="85"/>
      <c r="L8" s="85"/>
      <c r="M8" s="85"/>
      <c r="N8" s="86"/>
      <c r="O8" s="23" t="str">
        <f>IF($O$12="1","# Elemental material: ", "# Material name:")</f>
        <v># Material name:</v>
      </c>
    </row>
    <row r="9" spans="1:16" ht="15.75" customHeight="1" thickBot="1" x14ac:dyDescent="0.3">
      <c r="A9" s="13" t="s">
        <v>402</v>
      </c>
      <c r="B9" s="13"/>
      <c r="C9" s="13"/>
      <c r="D9" s="49">
        <v>6</v>
      </c>
      <c r="E9" s="103" t="s">
        <v>401</v>
      </c>
      <c r="F9" s="70"/>
      <c r="G9" s="70"/>
      <c r="H9" s="70"/>
      <c r="I9" s="70"/>
      <c r="J9" s="70"/>
      <c r="K9" s="70"/>
      <c r="L9" s="70"/>
      <c r="M9" s="70"/>
      <c r="N9" s="71"/>
      <c r="O9" s="23" t="str">
        <f>IF($O$12="1", IF(ISBLANK($G$7),_xlfn.CONCAT("# ",$A$18, " (", $C$18,")"), _xlfn.CONCAT("# ", $G$7)), IF(ISBLANK($G$7),"# not specified", _xlfn.CONCAT("# ", $G$7)))</f>
        <v># water</v>
      </c>
    </row>
    <row r="10" spans="1:16" ht="15" customHeight="1" x14ac:dyDescent="0.25">
      <c r="A10" s="69" t="s">
        <v>381</v>
      </c>
      <c r="B10" s="69"/>
      <c r="C10" s="69"/>
      <c r="D10" s="69"/>
      <c r="E10" s="69"/>
      <c r="F10" s="69"/>
      <c r="G10" s="69"/>
      <c r="H10" s="69"/>
      <c r="I10" s="69"/>
      <c r="J10" s="69"/>
      <c r="K10" s="69"/>
      <c r="L10" s="69"/>
      <c r="M10" s="69"/>
      <c r="N10" s="69"/>
      <c r="O10" s="24"/>
    </row>
    <row r="11" spans="1:16" s="3" customFormat="1" ht="15" customHeight="1" thickBot="1" x14ac:dyDescent="0.3">
      <c r="A11" s="70" t="s">
        <v>265</v>
      </c>
      <c r="B11" s="70"/>
      <c r="C11" s="70"/>
      <c r="D11" s="70"/>
      <c r="E11" s="70"/>
      <c r="F11" s="70"/>
      <c r="G11" s="70"/>
      <c r="H11" s="70"/>
      <c r="I11" s="70"/>
      <c r="J11" s="70"/>
      <c r="K11" s="70"/>
      <c r="L11" s="70"/>
      <c r="M11" s="70"/>
      <c r="N11" s="70"/>
      <c r="O11" s="24" t="s">
        <v>387</v>
      </c>
    </row>
    <row r="12" spans="1:16" ht="15" customHeight="1" x14ac:dyDescent="0.25">
      <c r="A12" s="72" t="s">
        <v>403</v>
      </c>
      <c r="B12" s="73"/>
      <c r="C12" s="112" t="s">
        <v>256</v>
      </c>
      <c r="D12" s="87" t="s">
        <v>259</v>
      </c>
      <c r="E12" s="87" t="s">
        <v>394</v>
      </c>
      <c r="F12" s="87" t="s">
        <v>395</v>
      </c>
      <c r="G12" s="104"/>
      <c r="H12" s="87" t="s">
        <v>396</v>
      </c>
      <c r="I12" s="87" t="s">
        <v>391</v>
      </c>
      <c r="J12" s="107"/>
      <c r="K12" s="76" t="s">
        <v>262</v>
      </c>
      <c r="L12" s="77"/>
      <c r="M12" s="80" t="s">
        <v>261</v>
      </c>
      <c r="N12" s="76"/>
      <c r="O12" s="23" t="str">
        <f>IF(COUNTA(A18:A29)&lt;&gt;COUNTA(B18:B29),"Error! Different number of entries for Symbol and Number of atoms per molecule.", _xlfn.VALUETOTEXT(COUNTA(B18:B29)))</f>
        <v>2</v>
      </c>
    </row>
    <row r="13" spans="1:16" ht="15" customHeight="1" x14ac:dyDescent="0.25">
      <c r="A13" s="74"/>
      <c r="B13" s="75"/>
      <c r="C13" s="113"/>
      <c r="D13" s="88"/>
      <c r="E13" s="88"/>
      <c r="F13" s="88"/>
      <c r="G13" s="105"/>
      <c r="H13" s="88"/>
      <c r="I13" s="88"/>
      <c r="J13" s="108"/>
      <c r="K13" s="78"/>
      <c r="L13" s="79"/>
      <c r="M13" s="81"/>
      <c r="N13" s="78"/>
      <c r="O13" s="24"/>
    </row>
    <row r="14" spans="1:16" s="3" customFormat="1" ht="15" customHeight="1" x14ac:dyDescent="0.25">
      <c r="A14" s="110" t="s">
        <v>263</v>
      </c>
      <c r="B14" s="65" t="s">
        <v>410</v>
      </c>
      <c r="C14" s="113"/>
      <c r="D14" s="88"/>
      <c r="E14" s="88"/>
      <c r="F14" s="88"/>
      <c r="G14" s="105"/>
      <c r="H14" s="88"/>
      <c r="I14" s="88"/>
      <c r="J14" s="108"/>
      <c r="K14" s="97" t="s">
        <v>259</v>
      </c>
      <c r="L14" s="99" t="s">
        <v>391</v>
      </c>
      <c r="M14" s="101" t="s">
        <v>259</v>
      </c>
      <c r="N14" s="97" t="s">
        <v>391</v>
      </c>
      <c r="O14" s="24" t="str">
        <f>CONCATENATE("# Density:")</f>
        <v># Density:</v>
      </c>
    </row>
    <row r="15" spans="1:16" s="3" customFormat="1" ht="15" customHeight="1" x14ac:dyDescent="0.25">
      <c r="A15" s="110"/>
      <c r="B15" s="65"/>
      <c r="C15" s="113"/>
      <c r="D15" s="88"/>
      <c r="E15" s="88"/>
      <c r="F15" s="88"/>
      <c r="G15" s="105"/>
      <c r="H15" s="88"/>
      <c r="I15" s="88"/>
      <c r="J15" s="108"/>
      <c r="K15" s="97"/>
      <c r="L15" s="99"/>
      <c r="M15" s="101"/>
      <c r="N15" s="97"/>
      <c r="O15" s="24" t="str">
        <f>IF($O$12="1", IF(ISBLANK($L$5),FIXED(_xlfn.XLOOKUP($A18,Data!$T$6:$T$123,Data!$V$6:$V$123,#N/A),$D$9),FIXED($L$5,$D$9)),IF(ISBLANK($L$5),"Error! Density value not specified!",FIXED($L$5,$D$9)))</f>
        <v>1.000000</v>
      </c>
    </row>
    <row r="16" spans="1:16" s="3" customFormat="1" ht="15" customHeight="1" x14ac:dyDescent="0.25">
      <c r="A16" s="110"/>
      <c r="B16" s="65"/>
      <c r="C16" s="113"/>
      <c r="D16" s="88"/>
      <c r="E16" s="88"/>
      <c r="F16" s="88"/>
      <c r="G16" s="105"/>
      <c r="H16" s="88"/>
      <c r="I16" s="88"/>
      <c r="J16" s="108"/>
      <c r="K16" s="97"/>
      <c r="L16" s="99"/>
      <c r="M16" s="101"/>
      <c r="N16" s="97"/>
      <c r="O16" s="24"/>
    </row>
    <row r="17" spans="1:15" s="3" customFormat="1" ht="15" customHeight="1" x14ac:dyDescent="0.25">
      <c r="A17" s="111"/>
      <c r="B17" s="66"/>
      <c r="C17" s="114"/>
      <c r="D17" s="89"/>
      <c r="E17" s="89"/>
      <c r="F17" s="89"/>
      <c r="G17" s="105"/>
      <c r="H17" s="89"/>
      <c r="I17" s="89"/>
      <c r="J17" s="108"/>
      <c r="K17" s="98"/>
      <c r="L17" s="100"/>
      <c r="M17" s="102"/>
      <c r="N17" s="98"/>
      <c r="O17" s="24" t="s">
        <v>388</v>
      </c>
    </row>
    <row r="18" spans="1:15" ht="15" customHeight="1" x14ac:dyDescent="0.25">
      <c r="A18" s="50" t="s">
        <v>7</v>
      </c>
      <c r="B18" s="33">
        <v>2</v>
      </c>
      <c r="C18" s="6" t="str">
        <f>IF(ISBLANK($A18), "", _xlfn.XLOOKUP($A18,Data!$B$6:$B$123,Data!$A$6:$A$123,#N/A))</f>
        <v>hydrogen</v>
      </c>
      <c r="D18" s="6">
        <f>IF(ISBLANK($A18), "", _xlfn.XLOOKUP($A18,Data!$B$6:$B$123,Data!$C$6:$C$123,#N/A))</f>
        <v>1</v>
      </c>
      <c r="E18" s="6">
        <f>IF(ISBLANK($A18), "", _xlfn.XLOOKUP($A18,Data!$B$6:$B$123,Data!$G$6:$G$123,#N/A))</f>
        <v>1.0079750000000001</v>
      </c>
      <c r="F18" s="39">
        <f>IF(ISBLANK($A18), "", B18*E18)</f>
        <v>2.0159500000000001</v>
      </c>
      <c r="G18" s="105"/>
      <c r="H18" s="6">
        <f>D18</f>
        <v>1</v>
      </c>
      <c r="I18" s="39">
        <f>IF(ISBLANK($B18), "", F18/F$33)</f>
        <v>0.11190179485827366</v>
      </c>
      <c r="J18" s="108"/>
      <c r="K18" s="14" cm="1">
        <f t="array" ref="K18:L19">_xlfn._xlws.SORT(H18:INDEX(H18:I29,O12,2),1,1,FALSE)</f>
        <v>1</v>
      </c>
      <c r="L18" s="14">
        <v>0.11190179485827366</v>
      </c>
      <c r="M18" s="8" t="str">
        <f>_xlfn.VALUETOTEXT(K18)</f>
        <v>1</v>
      </c>
      <c r="N18" s="14" t="str">
        <f>IF(M18="", "", FIXED(L18,$D$9))</f>
        <v>0.111902</v>
      </c>
      <c r="O18" s="24" t="str">
        <f>IF(M18="", "", CONCATENATE(M18, "    ",N18, "    # ", _xlfn.XLOOKUP(VALUE(M18),Data!$C$6:$C$123,Data!$A$6:$A$123,#N/A)))</f>
        <v>1    0.111902    # hydrogen</v>
      </c>
    </row>
    <row r="19" spans="1:15" x14ac:dyDescent="0.25">
      <c r="A19" s="50" t="s">
        <v>26</v>
      </c>
      <c r="B19" s="33">
        <v>1</v>
      </c>
      <c r="C19" s="6" t="str">
        <f>IF(ISBLANK($A19), "", _xlfn.XLOOKUP($A19,Data!$B$6:$B$123,Data!$A$6:$A$123,#N/A))</f>
        <v>oxygen</v>
      </c>
      <c r="D19" s="6">
        <f>IF(ISBLANK($A19), "", _xlfn.XLOOKUP($A19,Data!$B$6:$B$123,Data!$C$6:$C$123,#N/A))</f>
        <v>8</v>
      </c>
      <c r="E19" s="6">
        <f>IF(ISBLANK($A19), "", _xlfn.XLOOKUP($A19,Data!$B$6:$B$123,Data!$G$6:$G$123,#N/A))</f>
        <v>15.9994</v>
      </c>
      <c r="F19" s="39">
        <f>IF(ISBLANK($A19), "", B19*E19)</f>
        <v>15.9994</v>
      </c>
      <c r="G19" s="105"/>
      <c r="H19" s="6">
        <f t="shared" ref="H19:H29" si="0">D19</f>
        <v>8</v>
      </c>
      <c r="I19" s="39">
        <f>IF(ISBLANK($B19), "", F19/F$33)</f>
        <v>0.88809820514172644</v>
      </c>
      <c r="J19" s="108"/>
      <c r="K19" s="14">
        <v>8</v>
      </c>
      <c r="L19" s="14">
        <v>0.88809820514172644</v>
      </c>
      <c r="M19" s="8" t="str">
        <f t="shared" ref="M19:M29" si="1">_xlfn.VALUETOTEXT(K19)</f>
        <v>8</v>
      </c>
      <c r="N19" s="14" t="str">
        <f t="shared" ref="N19:N29" si="2">IF(M19="", "", FIXED(L19,$D$9))</f>
        <v>0.888098</v>
      </c>
      <c r="O19" s="24" t="str">
        <f>IF(M19="", "", CONCATENATE(M19, "    ",N19, "    # ", _xlfn.XLOOKUP(VALUE(M19),Data!$C$6:$C$123,Data!$A$6:$A$123,#N/A)))</f>
        <v>8    0.888098    # oxygen</v>
      </c>
    </row>
    <row r="20" spans="1:15" x14ac:dyDescent="0.25">
      <c r="A20" s="50"/>
      <c r="B20" s="33"/>
      <c r="C20" s="6" t="str">
        <f>IF(ISBLANK($A20), "", _xlfn.XLOOKUP($A20,Data!$B$6:$B$123,Data!$A$6:$A$123,#N/A))</f>
        <v/>
      </c>
      <c r="D20" s="6" t="str">
        <f>IF(ISBLANK($A20), "", _xlfn.XLOOKUP($A20,Data!$B$6:$B$123,Data!$C$6:$C$123,#N/A))</f>
        <v/>
      </c>
      <c r="E20" s="6" t="str">
        <f>IF(ISBLANK($A20), "", _xlfn.XLOOKUP($A20,Data!$B$6:$B$123,Data!$G$6:$G$123,#N/A))</f>
        <v/>
      </c>
      <c r="F20" s="39" t="str">
        <f>IF(ISBLANK($A20), "", B20*E20)</f>
        <v/>
      </c>
      <c r="G20" s="105"/>
      <c r="H20" s="6" t="str">
        <f t="shared" si="0"/>
        <v/>
      </c>
      <c r="I20" s="39" t="str">
        <f>IF(ISBLANK($B20), "", F20/F$33)</f>
        <v/>
      </c>
      <c r="J20" s="108"/>
      <c r="K20" s="14"/>
      <c r="L20" s="14"/>
      <c r="M20" s="8" t="str">
        <f t="shared" si="1"/>
        <v/>
      </c>
      <c r="N20" s="14" t="str">
        <f t="shared" si="2"/>
        <v/>
      </c>
      <c r="O20" s="24" t="str">
        <f>IF(M20="", "", CONCATENATE(M20, "    ",N20, "    # ", _xlfn.XLOOKUP(VALUE(M20),Data!$C$6:$C$123,Data!$A$6:$A$123,#N/A)))</f>
        <v/>
      </c>
    </row>
    <row r="21" spans="1:15" x14ac:dyDescent="0.25">
      <c r="A21" s="50"/>
      <c r="B21" s="33"/>
      <c r="C21" s="6" t="str">
        <f>IF(ISBLANK($A21), "", _xlfn.XLOOKUP($A21,Data!$B$6:$B$123,Data!$A$6:$A$123,#N/A))</f>
        <v/>
      </c>
      <c r="D21" s="6" t="str">
        <f>IF(ISBLANK($A21), "", _xlfn.XLOOKUP($A21,Data!$B$6:$B$123,Data!$C$6:$C$123,#N/A))</f>
        <v/>
      </c>
      <c r="E21" s="6" t="str">
        <f>IF(ISBLANK($A21), "", _xlfn.XLOOKUP($A21,Data!$B$6:$B$123,Data!$G$6:$G$123,#N/A))</f>
        <v/>
      </c>
      <c r="F21" s="39" t="str">
        <f>IF(ISBLANK($A21), "", B21*E21)</f>
        <v/>
      </c>
      <c r="G21" s="105"/>
      <c r="H21" s="6" t="str">
        <f t="shared" si="0"/>
        <v/>
      </c>
      <c r="I21" s="39" t="str">
        <f>IF(ISBLANK($B21), "", F21/F$33)</f>
        <v/>
      </c>
      <c r="J21" s="108"/>
      <c r="K21" s="14"/>
      <c r="L21" s="14"/>
      <c r="M21" s="8" t="str">
        <f t="shared" si="1"/>
        <v/>
      </c>
      <c r="N21" s="14" t="str">
        <f t="shared" si="2"/>
        <v/>
      </c>
      <c r="O21" s="24" t="str">
        <f>IF(M21="", "", CONCATENATE(M21, "    ",N21, "    # ", _xlfn.XLOOKUP(VALUE(M21),Data!$C$6:$C$123,Data!$A$6:$A$123,#N/A)))</f>
        <v/>
      </c>
    </row>
    <row r="22" spans="1:15" x14ac:dyDescent="0.25">
      <c r="A22" s="50"/>
      <c r="B22" s="33"/>
      <c r="C22" s="6" t="str">
        <f>IF(ISBLANK($A22), "", _xlfn.XLOOKUP($A22,Data!$B$6:$B$123,Data!$A$6:$A$123,#N/A))</f>
        <v/>
      </c>
      <c r="D22" s="6" t="str">
        <f>IF(ISBLANK($A22), "", _xlfn.XLOOKUP($A22,Data!$B$6:$B$123,Data!$C$6:$C$123,#N/A))</f>
        <v/>
      </c>
      <c r="E22" s="6" t="str">
        <f>IF(ISBLANK($A22), "", _xlfn.XLOOKUP($A22,Data!$B$6:$B$123,Data!$G$6:$G$123,#N/A))</f>
        <v/>
      </c>
      <c r="F22" s="39" t="str">
        <f t="shared" ref="F22:F29" si="3">IF(ISBLANK($A22), "", B22*E22)</f>
        <v/>
      </c>
      <c r="G22" s="105"/>
      <c r="H22" s="6" t="str">
        <f t="shared" si="0"/>
        <v/>
      </c>
      <c r="I22" s="39" t="str">
        <f t="shared" ref="I22:I29" si="4">IF(ISBLANK($B22), "", F22/F$33)</f>
        <v/>
      </c>
      <c r="J22" s="108"/>
      <c r="K22" s="14"/>
      <c r="L22" s="14"/>
      <c r="M22" s="8" t="str">
        <f t="shared" si="1"/>
        <v/>
      </c>
      <c r="N22" s="14" t="str">
        <f t="shared" si="2"/>
        <v/>
      </c>
      <c r="O22" s="24" t="str">
        <f>IF(M22="", "", CONCATENATE(M22, "    ",N22, "    # ", _xlfn.XLOOKUP(VALUE(M22),Data!$C$6:$C$123,Data!$A$6:$A$123,#N/A)))</f>
        <v/>
      </c>
    </row>
    <row r="23" spans="1:15" s="3" customFormat="1" x14ac:dyDescent="0.25">
      <c r="A23" s="50"/>
      <c r="B23" s="33"/>
      <c r="C23" s="6" t="str">
        <f>IF(ISBLANK($A23), "", _xlfn.XLOOKUP($A23,Data!$B$6:$B$123,Data!$A$6:$A$123,#N/A))</f>
        <v/>
      </c>
      <c r="D23" s="6" t="str">
        <f>IF(ISBLANK($A23), "", _xlfn.XLOOKUP($A23,Data!$B$6:$B$123,Data!$C$6:$C$123,#N/A))</f>
        <v/>
      </c>
      <c r="E23" s="6" t="str">
        <f>IF(ISBLANK($A23), "", _xlfn.XLOOKUP($A23,Data!$B$6:$B$123,Data!$G$6:$G$123,#N/A))</f>
        <v/>
      </c>
      <c r="F23" s="39" t="str">
        <f t="shared" ref="F23:F24" si="5">IF(ISBLANK($A23), "", B23*E23)</f>
        <v/>
      </c>
      <c r="G23" s="105"/>
      <c r="H23" s="6" t="str">
        <f t="shared" ref="H23:H24" si="6">D23</f>
        <v/>
      </c>
      <c r="I23" s="39" t="str">
        <f t="shared" si="4"/>
        <v/>
      </c>
      <c r="J23" s="108"/>
      <c r="K23" s="14"/>
      <c r="L23" s="14"/>
      <c r="M23" s="8" t="str">
        <f t="shared" ref="M23:M24" si="7">_xlfn.VALUETOTEXT(K23)</f>
        <v/>
      </c>
      <c r="N23" s="14" t="str">
        <f t="shared" ref="N23:N24" si="8">IF(M23="", "", FIXED(L23,$D$9))</f>
        <v/>
      </c>
      <c r="O23" s="24" t="str">
        <f>IF(M23="", "", CONCATENATE(M23, "    ",N23, "    # ", _xlfn.XLOOKUP(VALUE(M23),Data!$C$6:$C$123,Data!$A$6:$A$123,#N/A)))</f>
        <v/>
      </c>
    </row>
    <row r="24" spans="1:15" s="3" customFormat="1" x14ac:dyDescent="0.25">
      <c r="A24" s="50"/>
      <c r="B24" s="33"/>
      <c r="C24" s="6" t="str">
        <f>IF(ISBLANK($A24), "", _xlfn.XLOOKUP($A24,Data!$B$6:$B$123,Data!$A$6:$A$123,#N/A))</f>
        <v/>
      </c>
      <c r="D24" s="6" t="str">
        <f>IF(ISBLANK($A24), "", _xlfn.XLOOKUP($A24,Data!$B$6:$B$123,Data!$C$6:$C$123,#N/A))</f>
        <v/>
      </c>
      <c r="E24" s="6" t="str">
        <f>IF(ISBLANK($A24), "", _xlfn.XLOOKUP($A24,Data!$B$6:$B$123,Data!$G$6:$G$123,#N/A))</f>
        <v/>
      </c>
      <c r="F24" s="39" t="str">
        <f t="shared" si="5"/>
        <v/>
      </c>
      <c r="G24" s="105"/>
      <c r="H24" s="6" t="str">
        <f t="shared" si="6"/>
        <v/>
      </c>
      <c r="I24" s="39" t="str">
        <f t="shared" si="4"/>
        <v/>
      </c>
      <c r="J24" s="108"/>
      <c r="K24" s="14"/>
      <c r="L24" s="14"/>
      <c r="M24" s="8" t="str">
        <f t="shared" si="7"/>
        <v/>
      </c>
      <c r="N24" s="14" t="str">
        <f t="shared" si="8"/>
        <v/>
      </c>
      <c r="O24" s="24" t="str">
        <f>IF(M24="", "", CONCATENATE(M24, "    ",N24, "    # ", _xlfn.XLOOKUP(VALUE(M24),Data!$C$6:$C$123,Data!$A$6:$A$123,#N/A)))</f>
        <v/>
      </c>
    </row>
    <row r="25" spans="1:15" x14ac:dyDescent="0.25">
      <c r="A25" s="50"/>
      <c r="B25" s="33"/>
      <c r="C25" s="6" t="str">
        <f>IF(ISBLANK($A25), "", _xlfn.XLOOKUP($A25,Data!$B$6:$B$123,Data!$A$6:$A$123,#N/A))</f>
        <v/>
      </c>
      <c r="D25" s="6" t="str">
        <f>IF(ISBLANK($A25), "", _xlfn.XLOOKUP($A25,Data!$B$6:$B$123,Data!$C$6:$C$123,#N/A))</f>
        <v/>
      </c>
      <c r="E25" s="6" t="str">
        <f>IF(ISBLANK($A25), "", _xlfn.XLOOKUP($A25,Data!$B$6:$B$123,Data!$G$6:$G$123,#N/A))</f>
        <v/>
      </c>
      <c r="F25" s="39" t="str">
        <f t="shared" si="3"/>
        <v/>
      </c>
      <c r="G25" s="105"/>
      <c r="H25" s="6" t="str">
        <f t="shared" si="0"/>
        <v/>
      </c>
      <c r="I25" s="39" t="str">
        <f t="shared" si="4"/>
        <v/>
      </c>
      <c r="J25" s="108"/>
      <c r="K25" s="14"/>
      <c r="L25" s="14"/>
      <c r="M25" s="8" t="str">
        <f t="shared" si="1"/>
        <v/>
      </c>
      <c r="N25" s="14" t="str">
        <f t="shared" si="2"/>
        <v/>
      </c>
      <c r="O25" s="24" t="str">
        <f>IF(M25="", "", CONCATENATE(M25, "    ",N25, "    # ", _xlfn.XLOOKUP(VALUE(M25),Data!$C$6:$C$123,Data!$A$6:$A$123,#N/A)))</f>
        <v/>
      </c>
    </row>
    <row r="26" spans="1:15" x14ac:dyDescent="0.25">
      <c r="A26" s="50"/>
      <c r="B26" s="33"/>
      <c r="C26" s="6" t="str">
        <f>IF(ISBLANK($A26), "", _xlfn.XLOOKUP($A26,Data!$B$6:$B$123,Data!$A$6:$A$123,#N/A))</f>
        <v/>
      </c>
      <c r="D26" s="6" t="str">
        <f>IF(ISBLANK($A26), "", _xlfn.XLOOKUP($A26,Data!$B$6:$B$123,Data!$C$6:$C$123,#N/A))</f>
        <v/>
      </c>
      <c r="E26" s="6" t="str">
        <f>IF(ISBLANK($A26), "", _xlfn.XLOOKUP($A26,Data!$B$6:$B$123,Data!$G$6:$G$123,#N/A))</f>
        <v/>
      </c>
      <c r="F26" s="39" t="str">
        <f t="shared" si="3"/>
        <v/>
      </c>
      <c r="G26" s="105"/>
      <c r="H26" s="6" t="str">
        <f t="shared" si="0"/>
        <v/>
      </c>
      <c r="I26" s="39" t="str">
        <f t="shared" si="4"/>
        <v/>
      </c>
      <c r="J26" s="108"/>
      <c r="K26" s="14"/>
      <c r="L26" s="14"/>
      <c r="M26" s="8" t="str">
        <f t="shared" si="1"/>
        <v/>
      </c>
      <c r="N26" s="14" t="str">
        <f t="shared" si="2"/>
        <v/>
      </c>
      <c r="O26" s="24" t="str">
        <f>IF(M26="", "", CONCATENATE(M26, "    ",N26, "    # ", _xlfn.XLOOKUP(VALUE(M26),Data!$C$6:$C$123,Data!$A$6:$A$123,#N/A)))</f>
        <v/>
      </c>
    </row>
    <row r="27" spans="1:15" x14ac:dyDescent="0.25">
      <c r="A27" s="50"/>
      <c r="B27" s="33"/>
      <c r="C27" s="6" t="str">
        <f>IF(ISBLANK($A27), "", _xlfn.XLOOKUP($A27,Data!$B$6:$B$123,Data!$A$6:$A$123,#N/A))</f>
        <v/>
      </c>
      <c r="D27" s="6" t="str">
        <f>IF(ISBLANK($A27), "", _xlfn.XLOOKUP($A27,Data!$B$6:$B$123,Data!$C$6:$C$123,#N/A))</f>
        <v/>
      </c>
      <c r="E27" s="6" t="str">
        <f>IF(ISBLANK($A27), "", _xlfn.XLOOKUP($A27,Data!$B$6:$B$123,Data!$G$6:$G$123,#N/A))</f>
        <v/>
      </c>
      <c r="F27" s="39" t="str">
        <f t="shared" si="3"/>
        <v/>
      </c>
      <c r="G27" s="105"/>
      <c r="H27" s="6" t="str">
        <f t="shared" si="0"/>
        <v/>
      </c>
      <c r="I27" s="39" t="str">
        <f t="shared" si="4"/>
        <v/>
      </c>
      <c r="J27" s="108"/>
      <c r="K27" s="14"/>
      <c r="L27" s="14"/>
      <c r="M27" s="8" t="str">
        <f t="shared" si="1"/>
        <v/>
      </c>
      <c r="N27" s="14" t="str">
        <f t="shared" si="2"/>
        <v/>
      </c>
      <c r="O27" s="24" t="str">
        <f>IF(M27="", "", CONCATENATE(M27, "    ",N27, "    # ", _xlfn.XLOOKUP(VALUE(M27),Data!$C$6:$C$123,Data!$A$6:$A$123,#N/A)))</f>
        <v/>
      </c>
    </row>
    <row r="28" spans="1:15" x14ac:dyDescent="0.25">
      <c r="A28" s="50"/>
      <c r="B28" s="33"/>
      <c r="C28" s="6" t="str">
        <f>IF(ISBLANK($A28), "", _xlfn.XLOOKUP($A28,Data!$B$6:$B$123,Data!$A$6:$A$123,#N/A))</f>
        <v/>
      </c>
      <c r="D28" s="6" t="str">
        <f>IF(ISBLANK($A28), "", _xlfn.XLOOKUP($A28,Data!$B$6:$B$123,Data!$C$6:$C$123,#N/A))</f>
        <v/>
      </c>
      <c r="E28" s="6" t="str">
        <f>IF(ISBLANK($A28), "", _xlfn.XLOOKUP($A28,Data!$B$6:$B$123,Data!$G$6:$G$123,#N/A))</f>
        <v/>
      </c>
      <c r="F28" s="39" t="str">
        <f t="shared" si="3"/>
        <v/>
      </c>
      <c r="G28" s="105"/>
      <c r="H28" s="6" t="str">
        <f t="shared" si="0"/>
        <v/>
      </c>
      <c r="I28" s="39" t="str">
        <f t="shared" si="4"/>
        <v/>
      </c>
      <c r="J28" s="108"/>
      <c r="K28" s="14"/>
      <c r="L28" s="14"/>
      <c r="M28" s="8" t="str">
        <f t="shared" si="1"/>
        <v/>
      </c>
      <c r="N28" s="14" t="str">
        <f t="shared" si="2"/>
        <v/>
      </c>
      <c r="O28" s="24" t="str">
        <f>IF(M28="", "", CONCATENATE(M28, "    ",N28, "    # ", _xlfn.XLOOKUP(VALUE(M28),Data!$C$6:$C$123,Data!$A$6:$A$123,#N/A)))</f>
        <v/>
      </c>
    </row>
    <row r="29" spans="1:15" ht="15.75" thickBot="1" x14ac:dyDescent="0.3">
      <c r="A29" s="51"/>
      <c r="B29" s="34"/>
      <c r="C29" s="7" t="str">
        <f>IF(ISBLANK($A29), "", _xlfn.XLOOKUP($A29,Data!$B$6:$B$123,Data!$A$6:$A$123,#N/A))</f>
        <v/>
      </c>
      <c r="D29" s="7" t="str">
        <f>IF(ISBLANK($A29), "", _xlfn.XLOOKUP($A29,Data!$B$6:$B$123,Data!$C$6:$C$123,#N/A))</f>
        <v/>
      </c>
      <c r="E29" s="7" t="str">
        <f>IF(ISBLANK($A29), "", _xlfn.XLOOKUP($A29,Data!$B$6:$B$123,Data!$G$6:$G$123,#N/A))</f>
        <v/>
      </c>
      <c r="F29" s="40" t="str">
        <f t="shared" si="3"/>
        <v/>
      </c>
      <c r="G29" s="106"/>
      <c r="H29" s="7" t="str">
        <f t="shared" si="0"/>
        <v/>
      </c>
      <c r="I29" s="40" t="str">
        <f t="shared" si="4"/>
        <v/>
      </c>
      <c r="J29" s="109"/>
      <c r="K29" s="15"/>
      <c r="L29" s="15"/>
      <c r="M29" s="9" t="str">
        <f t="shared" si="1"/>
        <v/>
      </c>
      <c r="N29" s="15" t="str">
        <f t="shared" si="2"/>
        <v/>
      </c>
      <c r="O29" s="25" t="str">
        <f>IF(M29="", "", CONCATENATE(M29, "    ",N29, "    # ", _xlfn.XLOOKUP(VALUE(M29),Data!$C$6:$C$123,Data!$A$6:$A$123,#N/A)))</f>
        <v/>
      </c>
    </row>
    <row r="30" spans="1:15" ht="15" customHeight="1" x14ac:dyDescent="0.25">
      <c r="F30" s="67" t="s">
        <v>411</v>
      </c>
    </row>
    <row r="31" spans="1:15" x14ac:dyDescent="0.25">
      <c r="F31" s="68"/>
      <c r="O31" t="s">
        <v>421</v>
      </c>
    </row>
    <row r="32" spans="1:15" x14ac:dyDescent="0.25">
      <c r="F32" s="68"/>
      <c r="O32" s="24" t="str">
        <f>CONCATENATE("# number of iodine atoms per water molecule = ", B$20)</f>
        <v xml:space="preserve"># number of iodine atoms per water molecule = </v>
      </c>
    </row>
    <row r="33" spans="6:15" ht="15.75" thickBot="1" x14ac:dyDescent="0.3">
      <c r="F33" s="41">
        <f>SUM(F18:F29)</f>
        <v>18.015349999999998</v>
      </c>
      <c r="O33" s="24" t="e">
        <f>CONCATENATE("# iodine mass concentration = ", O$15, " g/mL * ", N$20, " = ", 1000*VALUE(O$15)*VALUE(N$20), " mg/mL.")</f>
        <v>#VALUE!</v>
      </c>
    </row>
    <row r="34" spans="6:15" x14ac:dyDescent="0.25">
      <c r="F34" s="3"/>
    </row>
    <row r="35" spans="6:15" x14ac:dyDescent="0.25">
      <c r="O35" s="32" t="s">
        <v>420</v>
      </c>
    </row>
    <row r="36" spans="6:15" x14ac:dyDescent="0.25">
      <c r="O36" s="24" t="str">
        <f>CONCATENATE("# Formula: H(", B$18, ")O(", B$19, ")Na(", B$20, ")Cl(", B$21, ")")</f>
        <v># Formula: H(2)O(1)Na()Cl()</v>
      </c>
    </row>
    <row r="37" spans="6:15" x14ac:dyDescent="0.25">
      <c r="O37" s="24" t="e">
        <f>CONCATENATE("# NaCl mass concentration = (", N$20, " + ", N$21, ") * ", O$15, " g/mL = ", 1000*(VALUE(N$20)+VALUE(N$21))*VALUE(O$15), " g/L.")</f>
        <v>#VALUE!</v>
      </c>
    </row>
  </sheetData>
  <sheetProtection sheet="1" objects="1" scenarios="1"/>
  <mergeCells count="32">
    <mergeCell ref="A3:N3"/>
    <mergeCell ref="A6:C6"/>
    <mergeCell ref="D6:N6"/>
    <mergeCell ref="A1:N1"/>
    <mergeCell ref="K14:K17"/>
    <mergeCell ref="L14:L17"/>
    <mergeCell ref="M14:M17"/>
    <mergeCell ref="N14:N17"/>
    <mergeCell ref="A11:N11"/>
    <mergeCell ref="E9:N9"/>
    <mergeCell ref="A4:N4"/>
    <mergeCell ref="G12:G29"/>
    <mergeCell ref="J12:J29"/>
    <mergeCell ref="A14:A17"/>
    <mergeCell ref="A10:N10"/>
    <mergeCell ref="C12:C17"/>
    <mergeCell ref="B14:B17"/>
    <mergeCell ref="F30:F32"/>
    <mergeCell ref="A2:N2"/>
    <mergeCell ref="A7:F7"/>
    <mergeCell ref="A5:K5"/>
    <mergeCell ref="A12:B13"/>
    <mergeCell ref="K12:L13"/>
    <mergeCell ref="M12:N13"/>
    <mergeCell ref="G7:N7"/>
    <mergeCell ref="A8:E8"/>
    <mergeCell ref="F8:N8"/>
    <mergeCell ref="D12:D17"/>
    <mergeCell ref="E12:E17"/>
    <mergeCell ref="F12:F17"/>
    <mergeCell ref="I12:I17"/>
    <mergeCell ref="H12:H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3341-331A-402E-8CE0-642A86E9D3BD}">
  <dimension ref="A1:Q37"/>
  <sheetViews>
    <sheetView zoomScale="90" zoomScaleNormal="90" workbookViewId="0">
      <selection activeCell="K5" sqref="K5"/>
    </sheetView>
  </sheetViews>
  <sheetFormatPr defaultRowHeight="15" x14ac:dyDescent="0.25"/>
  <cols>
    <col min="1" max="1" width="9.140625" style="4"/>
    <col min="2" max="2" width="9.140625" style="4" customWidth="1"/>
    <col min="3" max="3" width="9.140625" style="4"/>
    <col min="4" max="4" width="9.42578125" style="3" customWidth="1"/>
    <col min="5" max="7" width="9.140625" style="3"/>
    <col min="8" max="8" width="10.7109375" style="3" customWidth="1"/>
    <col min="9" max="9" width="9.140625" style="3"/>
    <col min="10" max="10" width="12" style="3" bestFit="1" customWidth="1"/>
    <col min="11" max="11" width="10.7109375" style="3" customWidth="1"/>
    <col min="12" max="12" width="2.7109375" style="5" customWidth="1"/>
    <col min="13" max="16" width="10.7109375" style="5" customWidth="1"/>
    <col min="17" max="17" width="110.7109375" style="3" customWidth="1"/>
    <col min="18" max="16384" width="9.140625" style="3"/>
  </cols>
  <sheetData>
    <row r="1" spans="1:17" ht="19.5" thickBot="1" x14ac:dyDescent="0.35">
      <c r="A1" s="120" t="s">
        <v>409</v>
      </c>
      <c r="B1" s="121"/>
      <c r="C1" s="121"/>
      <c r="D1" s="121"/>
      <c r="E1" s="121"/>
      <c r="F1" s="121"/>
      <c r="G1" s="121"/>
      <c r="H1" s="121"/>
      <c r="I1" s="121"/>
      <c r="J1" s="121"/>
      <c r="K1" s="121"/>
      <c r="L1" s="121"/>
      <c r="M1" s="121"/>
      <c r="N1" s="121"/>
      <c r="O1" s="121"/>
      <c r="P1" s="121"/>
      <c r="Q1" s="28" t="s">
        <v>257</v>
      </c>
    </row>
    <row r="2" spans="1:17" ht="15" customHeight="1" x14ac:dyDescent="0.25">
      <c r="A2" s="115" t="s">
        <v>404</v>
      </c>
      <c r="B2" s="90"/>
      <c r="C2" s="90"/>
      <c r="D2" s="90"/>
      <c r="E2" s="90"/>
      <c r="F2" s="90"/>
      <c r="G2" s="90"/>
      <c r="H2" s="90"/>
      <c r="I2" s="90"/>
      <c r="J2" s="90"/>
      <c r="K2" s="90"/>
      <c r="L2" s="90"/>
      <c r="M2" s="90"/>
      <c r="N2" s="90"/>
      <c r="O2" s="90"/>
      <c r="P2" s="90"/>
      <c r="Q2" s="11" t="s">
        <v>422</v>
      </c>
    </row>
    <row r="3" spans="1:17" ht="15" customHeight="1" x14ac:dyDescent="0.25">
      <c r="A3" s="115" t="s">
        <v>412</v>
      </c>
      <c r="B3" s="90"/>
      <c r="C3" s="90"/>
      <c r="D3" s="90"/>
      <c r="E3" s="90"/>
      <c r="F3" s="90"/>
      <c r="G3" s="90"/>
      <c r="H3" s="90"/>
      <c r="I3" s="90"/>
      <c r="J3" s="90"/>
      <c r="K3" s="90"/>
      <c r="L3" s="90"/>
      <c r="M3" s="90"/>
      <c r="N3" s="90"/>
      <c r="O3" s="90"/>
      <c r="P3" s="90"/>
      <c r="Q3" s="12" t="str">
        <f>CONCATENATE("# Made with ",Instructions!A$1, " ",Instructions!B$1, ".")</f>
        <v># Made with CatSim material calculator, version 1.0.</v>
      </c>
    </row>
    <row r="4" spans="1:17" ht="15" customHeight="1" thickBot="1" x14ac:dyDescent="0.3">
      <c r="A4" s="70" t="s">
        <v>413</v>
      </c>
      <c r="B4" s="70"/>
      <c r="C4" s="70"/>
      <c r="D4" s="70"/>
      <c r="E4" s="70"/>
      <c r="F4" s="70"/>
      <c r="G4" s="70"/>
      <c r="H4" s="70"/>
      <c r="I4" s="70"/>
      <c r="J4" s="70"/>
      <c r="K4" s="70"/>
      <c r="L4" s="70"/>
      <c r="M4" s="70"/>
      <c r="N4" s="70"/>
      <c r="O4" s="70"/>
      <c r="P4" s="70"/>
      <c r="Q4" s="23" t="str">
        <f>IF(Q12&lt;&gt;"1", CONCATENATE("# Molecular weights from ", Data!$I$1, "."), "")</f>
        <v># Molecular weights from https://www.nist.gov/pml/atomic-weights-and-isotopic-compositions-relative-atomic-masses.</v>
      </c>
    </row>
    <row r="5" spans="1:17" ht="15" customHeight="1" thickBot="1" x14ac:dyDescent="0.3">
      <c r="A5" s="103" t="s">
        <v>415</v>
      </c>
      <c r="B5" s="70"/>
      <c r="C5" s="70"/>
      <c r="D5" s="70"/>
      <c r="E5" s="70"/>
      <c r="F5" s="70"/>
      <c r="G5" s="70"/>
      <c r="H5" s="70"/>
      <c r="I5" s="70"/>
      <c r="J5" s="71"/>
      <c r="K5" s="55">
        <v>1</v>
      </c>
      <c r="L5" s="129" t="s">
        <v>264</v>
      </c>
      <c r="M5" s="130"/>
      <c r="N5" s="130"/>
      <c r="O5" s="130"/>
      <c r="P5" s="130"/>
      <c r="Q5" s="23" t="str">
        <f>IF(AND($Q$12="1",ISBLANK($K$5),ISBLANK($D$6)),CONCATENATE("# Density from ", Data!$S$1, "."), IF(ISBLANK($D$6),"# Density source not specified.",_xlfn.CONCAT("# Density source: ",$D$6)))</f>
        <v># Density source: https://physics.nist.gov/PhysRefData/XrayMassCoef/tab2.html</v>
      </c>
    </row>
    <row r="6" spans="1:17" ht="15" customHeight="1" thickBot="1" x14ac:dyDescent="0.3">
      <c r="A6" s="47" t="s">
        <v>416</v>
      </c>
      <c r="B6" s="13"/>
      <c r="C6" s="13"/>
      <c r="D6" s="84" t="s">
        <v>424</v>
      </c>
      <c r="E6" s="85"/>
      <c r="F6" s="85"/>
      <c r="G6" s="85"/>
      <c r="H6" s="85"/>
      <c r="I6" s="85"/>
      <c r="J6" s="85"/>
      <c r="K6" s="85"/>
      <c r="L6" s="85"/>
      <c r="M6" s="85"/>
      <c r="N6" s="85"/>
      <c r="O6" s="85"/>
      <c r="P6" s="85"/>
      <c r="Q6" s="23" t="str">
        <f>IF(ISBLANK($F$8),IF($Q$12=1,"","# Material composition source not specified."),CONCATENATE("# Material composition source: ",$F$8))</f>
        <v># Material composition source: "Enter a formula" tab in this workbook</v>
      </c>
    </row>
    <row r="7" spans="1:17" ht="15" customHeight="1" thickBot="1" x14ac:dyDescent="0.3">
      <c r="A7" s="47" t="s">
        <v>379</v>
      </c>
      <c r="B7" s="13"/>
      <c r="C7" s="13"/>
      <c r="D7" s="13"/>
      <c r="E7" s="13"/>
      <c r="F7" s="13"/>
      <c r="G7" s="84" t="s">
        <v>423</v>
      </c>
      <c r="H7" s="85"/>
      <c r="I7" s="85"/>
      <c r="J7" s="85"/>
      <c r="K7" s="85"/>
      <c r="L7" s="85"/>
      <c r="M7" s="85"/>
      <c r="N7" s="85"/>
      <c r="O7" s="85"/>
      <c r="P7" s="85"/>
      <c r="Q7" s="24"/>
    </row>
    <row r="8" spans="1:17" ht="15.75" customHeight="1" thickBot="1" x14ac:dyDescent="0.3">
      <c r="A8" s="47" t="s">
        <v>380</v>
      </c>
      <c r="B8" s="13"/>
      <c r="C8" s="13"/>
      <c r="D8" s="13"/>
      <c r="E8" s="13"/>
      <c r="F8" s="84" t="s">
        <v>425</v>
      </c>
      <c r="G8" s="85"/>
      <c r="H8" s="85"/>
      <c r="I8" s="85"/>
      <c r="J8" s="85"/>
      <c r="K8" s="85"/>
      <c r="L8" s="85"/>
      <c r="M8" s="85"/>
      <c r="N8" s="85"/>
      <c r="O8" s="85"/>
      <c r="P8" s="85"/>
      <c r="Q8" s="23" t="str">
        <f>IF($Q$12="1","# Elemental material: ", "# Material name:")</f>
        <v># Material name:</v>
      </c>
    </row>
    <row r="9" spans="1:17" ht="15.75" customHeight="1" thickBot="1" x14ac:dyDescent="0.3">
      <c r="A9" s="47" t="s">
        <v>402</v>
      </c>
      <c r="B9" s="13"/>
      <c r="C9" s="13"/>
      <c r="D9" s="13"/>
      <c r="E9" s="49">
        <v>6</v>
      </c>
      <c r="F9" s="118" t="s">
        <v>401</v>
      </c>
      <c r="G9" s="119"/>
      <c r="H9" s="119"/>
      <c r="I9" s="119"/>
      <c r="J9" s="119"/>
      <c r="K9" s="119"/>
      <c r="L9" s="119"/>
      <c r="M9" s="119"/>
      <c r="N9" s="119"/>
      <c r="O9" s="119"/>
      <c r="P9" s="119"/>
      <c r="Q9" s="23" t="str">
        <f>IF($Q$12="1", IF(ISBLANK($G$7),_xlfn.CONCAT("# ",$F$18, " (", $C$18,")"), _xlfn.CONCAT("# ", $G$7)), IF(ISBLANK($G$7),"# not specified", _xlfn.CONCAT("# ", $G$7)))</f>
        <v># water</v>
      </c>
    </row>
    <row r="10" spans="1:17" ht="15" customHeight="1" x14ac:dyDescent="0.25">
      <c r="A10" s="115" t="s">
        <v>381</v>
      </c>
      <c r="B10" s="90"/>
      <c r="C10" s="90"/>
      <c r="D10" s="90"/>
      <c r="E10" s="90"/>
      <c r="F10" s="90"/>
      <c r="G10" s="90"/>
      <c r="H10" s="90"/>
      <c r="I10" s="90"/>
      <c r="J10" s="90"/>
      <c r="K10" s="90"/>
      <c r="L10" s="90"/>
      <c r="M10" s="90"/>
      <c r="N10" s="90"/>
      <c r="O10" s="90"/>
      <c r="P10" s="90"/>
      <c r="Q10" s="24"/>
    </row>
    <row r="11" spans="1:17" ht="15" customHeight="1" thickBot="1" x14ac:dyDescent="0.3">
      <c r="A11" s="103" t="s">
        <v>265</v>
      </c>
      <c r="B11" s="70"/>
      <c r="C11" s="70"/>
      <c r="D11" s="70"/>
      <c r="E11" s="70"/>
      <c r="F11" s="70"/>
      <c r="G11" s="70"/>
      <c r="H11" s="70"/>
      <c r="I11" s="70"/>
      <c r="J11" s="70"/>
      <c r="K11" s="70"/>
      <c r="L11" s="70"/>
      <c r="M11" s="70"/>
      <c r="N11" s="70"/>
      <c r="O11" s="70"/>
      <c r="P11" s="70"/>
      <c r="Q11" s="24" t="s">
        <v>387</v>
      </c>
    </row>
    <row r="12" spans="1:17" ht="15" customHeight="1" x14ac:dyDescent="0.25">
      <c r="A12" s="72" t="s">
        <v>403</v>
      </c>
      <c r="B12" s="73"/>
      <c r="C12" s="116" t="s">
        <v>263</v>
      </c>
      <c r="D12" s="87" t="s">
        <v>398</v>
      </c>
      <c r="E12" s="117" t="s">
        <v>399</v>
      </c>
      <c r="F12" s="112" t="s">
        <v>256</v>
      </c>
      <c r="G12" s="87" t="s">
        <v>259</v>
      </c>
      <c r="H12" s="87" t="s">
        <v>406</v>
      </c>
      <c r="I12" s="87" t="s">
        <v>258</v>
      </c>
      <c r="J12" s="87" t="s">
        <v>400</v>
      </c>
      <c r="K12" s="87" t="s">
        <v>393</v>
      </c>
      <c r="L12" s="107"/>
      <c r="M12" s="125" t="s">
        <v>408</v>
      </c>
      <c r="N12" s="126"/>
      <c r="O12" s="80" t="s">
        <v>261</v>
      </c>
      <c r="P12" s="76"/>
      <c r="Q12" s="23" t="str">
        <f>IF(COUNTA(A18:A29)&lt;&gt;COUNTA(B18:B29),"Error! Different number of entries for Atomic number and Mass fraction.", _xlfn.VALUETOTEXT(COUNTA(B18:B29)))</f>
        <v>2</v>
      </c>
    </row>
    <row r="13" spans="1:17" ht="15" customHeight="1" thickBot="1" x14ac:dyDescent="0.3">
      <c r="A13" s="74"/>
      <c r="B13" s="75"/>
      <c r="C13" s="110"/>
      <c r="D13" s="88"/>
      <c r="E13" s="65"/>
      <c r="F13" s="113"/>
      <c r="G13" s="88"/>
      <c r="H13" s="88"/>
      <c r="I13" s="88"/>
      <c r="J13" s="88"/>
      <c r="K13" s="88"/>
      <c r="L13" s="108"/>
      <c r="M13" s="127"/>
      <c r="N13" s="128"/>
      <c r="O13" s="81"/>
      <c r="P13" s="78"/>
      <c r="Q13" s="24"/>
    </row>
    <row r="14" spans="1:17" ht="15" customHeight="1" x14ac:dyDescent="0.25">
      <c r="A14" s="122" t="s">
        <v>259</v>
      </c>
      <c r="B14" s="117" t="s">
        <v>391</v>
      </c>
      <c r="C14" s="110"/>
      <c r="D14" s="88"/>
      <c r="E14" s="65"/>
      <c r="F14" s="113"/>
      <c r="G14" s="88"/>
      <c r="H14" s="88"/>
      <c r="I14" s="88"/>
      <c r="J14" s="88"/>
      <c r="K14" s="88"/>
      <c r="L14" s="108"/>
      <c r="M14" s="97" t="s">
        <v>259</v>
      </c>
      <c r="N14" s="99" t="s">
        <v>391</v>
      </c>
      <c r="O14" s="101" t="s">
        <v>259</v>
      </c>
      <c r="P14" s="97" t="s">
        <v>391</v>
      </c>
      <c r="Q14" s="24" t="str">
        <f>CONCATENATE("# Density:")</f>
        <v># Density:</v>
      </c>
    </row>
    <row r="15" spans="1:17" ht="15" customHeight="1" x14ac:dyDescent="0.25">
      <c r="A15" s="123"/>
      <c r="B15" s="65"/>
      <c r="C15" s="110"/>
      <c r="D15" s="88"/>
      <c r="E15" s="65"/>
      <c r="F15" s="113"/>
      <c r="G15" s="88"/>
      <c r="H15" s="88"/>
      <c r="I15" s="88"/>
      <c r="J15" s="88"/>
      <c r="K15" s="88"/>
      <c r="L15" s="108"/>
      <c r="M15" s="97"/>
      <c r="N15" s="99"/>
      <c r="O15" s="101"/>
      <c r="P15" s="97"/>
      <c r="Q15" s="24" t="str">
        <f>IF($Q$12="1", IF(ISBLANK($K$5),FIXED(_xlfn.XLOOKUP($C18,Data!$T$6:$T$123,Data!$V$6:$V$123,#N/A),$E$9),FIXED($K$5,$E$9)),IF(ISBLANK($K$5),"Error! Density value not specified!",FIXED($K$5,$E$9)))</f>
        <v>1.000000</v>
      </c>
    </row>
    <row r="16" spans="1:17" ht="15" customHeight="1" x14ac:dyDescent="0.25">
      <c r="A16" s="123"/>
      <c r="B16" s="65"/>
      <c r="C16" s="110"/>
      <c r="D16" s="88"/>
      <c r="E16" s="65"/>
      <c r="F16" s="113"/>
      <c r="G16" s="88"/>
      <c r="H16" s="88"/>
      <c r="I16" s="88"/>
      <c r="J16" s="88"/>
      <c r="K16" s="88"/>
      <c r="L16" s="108"/>
      <c r="M16" s="97"/>
      <c r="N16" s="99"/>
      <c r="O16" s="101"/>
      <c r="P16" s="97"/>
      <c r="Q16" s="24"/>
    </row>
    <row r="17" spans="1:17" ht="15" customHeight="1" x14ac:dyDescent="0.25">
      <c r="A17" s="124"/>
      <c r="B17" s="66"/>
      <c r="C17" s="111"/>
      <c r="D17" s="89"/>
      <c r="E17" s="66"/>
      <c r="F17" s="114"/>
      <c r="G17" s="89"/>
      <c r="H17" s="89"/>
      <c r="I17" s="89"/>
      <c r="J17" s="89"/>
      <c r="K17" s="89"/>
      <c r="L17" s="108"/>
      <c r="M17" s="98"/>
      <c r="N17" s="100"/>
      <c r="O17" s="102"/>
      <c r="P17" s="98"/>
      <c r="Q17" s="24" t="s">
        <v>388</v>
      </c>
    </row>
    <row r="18" spans="1:17" ht="15" customHeight="1" x14ac:dyDescent="0.25">
      <c r="A18" s="50">
        <v>1</v>
      </c>
      <c r="B18" s="33">
        <v>0.11190179485827366</v>
      </c>
      <c r="C18" s="35" t="str">
        <f>IF($G18="", "", _xlfn.XLOOKUP($G18,Data!$C$6:$C$123,Data!$B$6:$B$123,#N/A))</f>
        <v>H</v>
      </c>
      <c r="D18" s="45">
        <f t="shared" ref="D18:D29" si="0">IF(E18= "","",E18/$E$33)</f>
        <v>0.66666666666666663</v>
      </c>
      <c r="E18" s="36">
        <f t="shared" ref="E18:E29" si="1">IF(C18="", "", K18/$K$34)</f>
        <v>2</v>
      </c>
      <c r="F18" s="6" t="str">
        <f>IF($G18="", "", _xlfn.XLOOKUP($G18,Data!$C$6:$C$123,Data!$A$6:$A$123,#N/A))</f>
        <v>hydrogen</v>
      </c>
      <c r="G18" s="6">
        <f t="shared" ref="G18:G29" si="2">IF(ISBLANK(A18), "", A18)</f>
        <v>1</v>
      </c>
      <c r="H18" s="6">
        <f t="shared" ref="H18:H29" si="3">IF($C18="", "", B18/$B$33)</f>
        <v>0.11190179485827366</v>
      </c>
      <c r="I18" s="6">
        <f>IF($C18="", "", _xlfn.XLOOKUP($C18,Data!$B$6:$B$123,Data!$G$6:$G$123,#N/A))</f>
        <v>1.0079750000000001</v>
      </c>
      <c r="J18" s="39">
        <f>IF(ISBLANK($B18), "",H18*I18)</f>
        <v>0.1127942116722684</v>
      </c>
      <c r="K18" s="39">
        <f>IF(ISBLANK($B18), "",H18/ I18)</f>
        <v>0.11101643875916928</v>
      </c>
      <c r="L18" s="108"/>
      <c r="M18" s="14" cm="1">
        <f t="array" ref="M18:N19">_xlfn._xlws.SORT(G18:INDEX(G18:H29,Q12,2),1,1,FALSE)</f>
        <v>1</v>
      </c>
      <c r="N18" s="14">
        <v>0.11190179485827366</v>
      </c>
      <c r="O18" s="8" t="str">
        <f>_xlfn.VALUETOTEXT(M18)</f>
        <v>1</v>
      </c>
      <c r="P18" s="14" t="str">
        <f>IF(O18="", "", FIXED(N18,$E$9))</f>
        <v>0.111902</v>
      </c>
      <c r="Q18" s="24" t="str">
        <f>IF(O18="", "", CONCATENATE(O18, "    ",P18, "    # ", _xlfn.XLOOKUP(VALUE(O18),Data!$C$6:$C$123,Data!$A$6:$A$123,#N/A)))</f>
        <v>1    0.111902    # hydrogen</v>
      </c>
    </row>
    <row r="19" spans="1:17" ht="15" customHeight="1" x14ac:dyDescent="0.25">
      <c r="A19" s="50">
        <v>8</v>
      </c>
      <c r="B19" s="33">
        <v>0.88809820514172644</v>
      </c>
      <c r="C19" s="35" t="str">
        <f>IF($G19="", "", _xlfn.XLOOKUP($G19,Data!$C$6:$C$123,Data!$B$6:$B$123,#N/A))</f>
        <v>O</v>
      </c>
      <c r="D19" s="45">
        <f t="shared" si="0"/>
        <v>0.33333333333333331</v>
      </c>
      <c r="E19" s="36">
        <f t="shared" si="1"/>
        <v>1</v>
      </c>
      <c r="F19" s="6" t="str">
        <f>IF($G19="", "", _xlfn.XLOOKUP($G19,Data!$C$6:$C$123,Data!$A$6:$A$123,#N/A))</f>
        <v>oxygen</v>
      </c>
      <c r="G19" s="6">
        <f t="shared" si="2"/>
        <v>8</v>
      </c>
      <c r="H19" s="6">
        <f t="shared" si="3"/>
        <v>0.88809820514172644</v>
      </c>
      <c r="I19" s="6">
        <f>IF($C19="", "", _xlfn.XLOOKUP($C19,Data!$B$6:$B$123,Data!$G$6:$G$123,#N/A))</f>
        <v>15.9994</v>
      </c>
      <c r="J19" s="39">
        <f t="shared" ref="J19:J29" si="4">IF(ISBLANK($B19), "",H19*I19)</f>
        <v>14.209038423344538</v>
      </c>
      <c r="K19" s="39">
        <f t="shared" ref="K19:K29" si="5">IF(ISBLANK($B19), "",H19/ I19)</f>
        <v>5.5508219379584639E-2</v>
      </c>
      <c r="L19" s="108"/>
      <c r="M19" s="14">
        <v>8</v>
      </c>
      <c r="N19" s="14">
        <v>0.88809820514172644</v>
      </c>
      <c r="O19" s="8" t="str">
        <f t="shared" ref="O19:O29" si="6">_xlfn.VALUETOTEXT(M19)</f>
        <v>8</v>
      </c>
      <c r="P19" s="14" t="str">
        <f t="shared" ref="P19:P29" si="7">IF(O19="", "", FIXED(N19,$E$9))</f>
        <v>0.888098</v>
      </c>
      <c r="Q19" s="24" t="str">
        <f>IF(O19="", "", CONCATENATE(O19, "    ",P19, "    # ", _xlfn.XLOOKUP(VALUE(O19),Data!$C$6:$C$123,Data!$A$6:$A$123,#N/A)))</f>
        <v>8    0.888098    # oxygen</v>
      </c>
    </row>
    <row r="20" spans="1:17" ht="15" customHeight="1" x14ac:dyDescent="0.25">
      <c r="A20" s="50"/>
      <c r="B20" s="33"/>
      <c r="C20" s="35" t="str">
        <f>IF($G20="", "", _xlfn.XLOOKUP($G20,Data!$C$6:$C$123,Data!$B$6:$B$123,#N/A))</f>
        <v/>
      </c>
      <c r="D20" s="45" t="str">
        <f t="shared" si="0"/>
        <v/>
      </c>
      <c r="E20" s="36" t="str">
        <f t="shared" si="1"/>
        <v/>
      </c>
      <c r="F20" s="6" t="str">
        <f>IF($G20="", "", _xlfn.XLOOKUP($G20,Data!$C$6:$C$123,Data!$A$6:$A$123,#N/A))</f>
        <v/>
      </c>
      <c r="G20" s="6" t="str">
        <f t="shared" si="2"/>
        <v/>
      </c>
      <c r="H20" s="6" t="str">
        <f t="shared" si="3"/>
        <v/>
      </c>
      <c r="I20" s="6" t="str">
        <f>IF($C20="", "", _xlfn.XLOOKUP($C20,Data!$B$6:$B$123,Data!$G$6:$G$123,#N/A))</f>
        <v/>
      </c>
      <c r="J20" s="39" t="str">
        <f t="shared" si="4"/>
        <v/>
      </c>
      <c r="K20" s="39" t="str">
        <f t="shared" si="5"/>
        <v/>
      </c>
      <c r="L20" s="108"/>
      <c r="M20" s="14"/>
      <c r="N20" s="14"/>
      <c r="O20" s="8" t="str">
        <f t="shared" si="6"/>
        <v/>
      </c>
      <c r="P20" s="14" t="str">
        <f t="shared" si="7"/>
        <v/>
      </c>
      <c r="Q20" s="24" t="str">
        <f>IF(O20="", "", CONCATENATE(O20, "    ",P20, "    # ", _xlfn.XLOOKUP(VALUE(O20),Data!$C$6:$C$123,Data!$A$6:$A$123,#N/A)))</f>
        <v/>
      </c>
    </row>
    <row r="21" spans="1:17" x14ac:dyDescent="0.25">
      <c r="A21" s="50"/>
      <c r="B21" s="33"/>
      <c r="C21" s="35" t="str">
        <f>IF($G21="", "", _xlfn.XLOOKUP($G21,Data!$C$6:$C$123,Data!$B$6:$B$123,#N/A))</f>
        <v/>
      </c>
      <c r="D21" s="45" t="str">
        <f t="shared" si="0"/>
        <v/>
      </c>
      <c r="E21" s="36" t="str">
        <f t="shared" si="1"/>
        <v/>
      </c>
      <c r="F21" s="6" t="str">
        <f>IF($G21="", "", _xlfn.XLOOKUP($G21,Data!$C$6:$C$123,Data!$A$6:$A$123,#N/A))</f>
        <v/>
      </c>
      <c r="G21" s="6" t="str">
        <f t="shared" si="2"/>
        <v/>
      </c>
      <c r="H21" s="6" t="str">
        <f t="shared" si="3"/>
        <v/>
      </c>
      <c r="I21" s="6" t="str">
        <f>IF($C21="", "", _xlfn.XLOOKUP($C21,Data!$B$6:$B$123,Data!$G$6:$G$123,#N/A))</f>
        <v/>
      </c>
      <c r="J21" s="39" t="str">
        <f t="shared" si="4"/>
        <v/>
      </c>
      <c r="K21" s="39" t="str">
        <f t="shared" si="5"/>
        <v/>
      </c>
      <c r="L21" s="108"/>
      <c r="M21" s="14"/>
      <c r="N21" s="14"/>
      <c r="O21" s="8" t="str">
        <f t="shared" si="6"/>
        <v/>
      </c>
      <c r="P21" s="14" t="str">
        <f t="shared" si="7"/>
        <v/>
      </c>
      <c r="Q21" s="24" t="str">
        <f>IF(O21="", "", CONCATENATE(O21, "    ",P21, "    # ", _xlfn.XLOOKUP(VALUE(O21),Data!$C$6:$C$123,Data!$A$6:$A$123,#N/A)))</f>
        <v/>
      </c>
    </row>
    <row r="22" spans="1:17" x14ac:dyDescent="0.25">
      <c r="A22" s="50"/>
      <c r="B22" s="33"/>
      <c r="C22" s="35" t="str">
        <f>IF($G22="", "", _xlfn.XLOOKUP($G22,Data!$C$6:$C$123,Data!$B$6:$B$123,#N/A))</f>
        <v/>
      </c>
      <c r="D22" s="43" t="str">
        <f t="shared" si="0"/>
        <v/>
      </c>
      <c r="E22" s="36" t="str">
        <f t="shared" si="1"/>
        <v/>
      </c>
      <c r="F22" s="6" t="str">
        <f>IF($G22="", "", _xlfn.XLOOKUP($G22,Data!$C$6:$C$123,Data!$A$6:$A$123,#N/A))</f>
        <v/>
      </c>
      <c r="G22" s="6" t="str">
        <f t="shared" si="2"/>
        <v/>
      </c>
      <c r="H22" s="6" t="str">
        <f t="shared" si="3"/>
        <v/>
      </c>
      <c r="I22" s="6" t="str">
        <f>IF($C22="", "", _xlfn.XLOOKUP($C22,Data!$B$6:$B$123,Data!$G$6:$G$123,#N/A))</f>
        <v/>
      </c>
      <c r="J22" s="39" t="str">
        <f t="shared" ref="J22:J23" si="8">IF(ISBLANK($B22), "",H22*I22)</f>
        <v/>
      </c>
      <c r="K22" s="39" t="str">
        <f t="shared" ref="K22:K23" si="9">IF(ISBLANK($B22), "",H22/ I22)</f>
        <v/>
      </c>
      <c r="L22" s="108"/>
      <c r="M22" s="14"/>
      <c r="N22" s="14"/>
      <c r="O22" s="8" t="str">
        <f t="shared" ref="O22:O23" si="10">_xlfn.VALUETOTEXT(M22)</f>
        <v/>
      </c>
      <c r="P22" s="14" t="str">
        <f t="shared" si="7"/>
        <v/>
      </c>
      <c r="Q22" s="24" t="str">
        <f>IF(O22="", "", CONCATENATE(O22, "    ",P22, "    # ", _xlfn.XLOOKUP(VALUE(O22),Data!$C$6:$C$123,Data!$A$6:$A$123,#N/A)))</f>
        <v/>
      </c>
    </row>
    <row r="23" spans="1:17" x14ac:dyDescent="0.25">
      <c r="A23" s="50"/>
      <c r="B23" s="33"/>
      <c r="C23" s="35" t="str">
        <f>IF($G23="", "", _xlfn.XLOOKUP($G23,Data!$C$6:$C$123,Data!$B$6:$B$123,#N/A))</f>
        <v/>
      </c>
      <c r="D23" s="43" t="str">
        <f t="shared" si="0"/>
        <v/>
      </c>
      <c r="E23" s="36" t="str">
        <f t="shared" si="1"/>
        <v/>
      </c>
      <c r="F23" s="6" t="str">
        <f>IF($G23="", "", _xlfn.XLOOKUP($G23,Data!$C$6:$C$123,Data!$A$6:$A$123,#N/A))</f>
        <v/>
      </c>
      <c r="G23" s="6" t="str">
        <f t="shared" si="2"/>
        <v/>
      </c>
      <c r="H23" s="6" t="str">
        <f t="shared" si="3"/>
        <v/>
      </c>
      <c r="I23" s="6" t="str">
        <f>IF($C23="", "", _xlfn.XLOOKUP($C23,Data!$B$6:$B$123,Data!$G$6:$G$123,#N/A))</f>
        <v/>
      </c>
      <c r="J23" s="39" t="str">
        <f t="shared" si="8"/>
        <v/>
      </c>
      <c r="K23" s="39" t="str">
        <f t="shared" si="9"/>
        <v/>
      </c>
      <c r="L23" s="108"/>
      <c r="M23" s="14"/>
      <c r="N23" s="14"/>
      <c r="O23" s="8" t="str">
        <f t="shared" si="10"/>
        <v/>
      </c>
      <c r="P23" s="14" t="str">
        <f t="shared" si="7"/>
        <v/>
      </c>
      <c r="Q23" s="24" t="str">
        <f>IF(O23="", "", CONCATENATE(O23, "    ",P23, "    # ", _xlfn.XLOOKUP(VALUE(O23),Data!$C$6:$C$123,Data!$A$6:$A$123,#N/A)))</f>
        <v/>
      </c>
    </row>
    <row r="24" spans="1:17" x14ac:dyDescent="0.25">
      <c r="A24" s="50"/>
      <c r="B24" s="33"/>
      <c r="C24" s="35" t="str">
        <f>IF($G24="", "", _xlfn.XLOOKUP($G24,Data!$C$6:$C$123,Data!$B$6:$B$123,#N/A))</f>
        <v/>
      </c>
      <c r="D24" s="43" t="str">
        <f t="shared" si="0"/>
        <v/>
      </c>
      <c r="E24" s="36" t="str">
        <f t="shared" si="1"/>
        <v/>
      </c>
      <c r="F24" s="6" t="str">
        <f>IF($G24="", "", _xlfn.XLOOKUP($G24,Data!$C$6:$C$123,Data!$A$6:$A$123,#N/A))</f>
        <v/>
      </c>
      <c r="G24" s="6" t="str">
        <f t="shared" si="2"/>
        <v/>
      </c>
      <c r="H24" s="6" t="str">
        <f t="shared" si="3"/>
        <v/>
      </c>
      <c r="I24" s="6" t="str">
        <f>IF($C24="", "", _xlfn.XLOOKUP($C24,Data!$B$6:$B$123,Data!$G$6:$G$123,#N/A))</f>
        <v/>
      </c>
      <c r="J24" s="39" t="str">
        <f t="shared" si="4"/>
        <v/>
      </c>
      <c r="K24" s="39" t="str">
        <f t="shared" si="5"/>
        <v/>
      </c>
      <c r="L24" s="108"/>
      <c r="M24" s="14"/>
      <c r="N24" s="14"/>
      <c r="O24" s="8" t="str">
        <f t="shared" si="6"/>
        <v/>
      </c>
      <c r="P24" s="14" t="str">
        <f t="shared" si="7"/>
        <v/>
      </c>
      <c r="Q24" s="24" t="str">
        <f>IF(O24="", "", CONCATENATE(O24, "    ",P24, "    # ", _xlfn.XLOOKUP(VALUE(O24),Data!$C$6:$C$123,Data!$A$6:$A$123,#N/A)))</f>
        <v/>
      </c>
    </row>
    <row r="25" spans="1:17" x14ac:dyDescent="0.25">
      <c r="A25" s="50"/>
      <c r="B25" s="33"/>
      <c r="C25" s="35" t="str">
        <f>IF($G25="", "", _xlfn.XLOOKUP($G25,Data!$C$6:$C$123,Data!$B$6:$B$123,#N/A))</f>
        <v/>
      </c>
      <c r="D25" s="43" t="str">
        <f t="shared" si="0"/>
        <v/>
      </c>
      <c r="E25" s="36" t="str">
        <f t="shared" si="1"/>
        <v/>
      </c>
      <c r="F25" s="6" t="str">
        <f>IF($G25="", "", _xlfn.XLOOKUP($G25,Data!$C$6:$C$123,Data!$A$6:$A$123,#N/A))</f>
        <v/>
      </c>
      <c r="G25" s="6" t="str">
        <f t="shared" si="2"/>
        <v/>
      </c>
      <c r="H25" s="6" t="str">
        <f t="shared" si="3"/>
        <v/>
      </c>
      <c r="I25" s="6" t="str">
        <f>IF($C25="", "", _xlfn.XLOOKUP($C25,Data!$B$6:$B$123,Data!$G$6:$G$123,#N/A))</f>
        <v/>
      </c>
      <c r="J25" s="39" t="str">
        <f t="shared" si="4"/>
        <v/>
      </c>
      <c r="K25" s="39" t="str">
        <f t="shared" si="5"/>
        <v/>
      </c>
      <c r="L25" s="108"/>
      <c r="M25" s="14"/>
      <c r="N25" s="14"/>
      <c r="O25" s="8" t="str">
        <f t="shared" si="6"/>
        <v/>
      </c>
      <c r="P25" s="14" t="str">
        <f t="shared" si="7"/>
        <v/>
      </c>
      <c r="Q25" s="24" t="str">
        <f>IF(O25="", "", CONCATENATE(O25, "    ",P25, "    # ", _xlfn.XLOOKUP(VALUE(O25),Data!$C$6:$C$123,Data!$A$6:$A$123,#N/A)))</f>
        <v/>
      </c>
    </row>
    <row r="26" spans="1:17" x14ac:dyDescent="0.25">
      <c r="A26" s="50"/>
      <c r="B26" s="33"/>
      <c r="C26" s="35" t="str">
        <f>IF($G26="", "", _xlfn.XLOOKUP($G26,Data!$C$6:$C$123,Data!$B$6:$B$123,#N/A))</f>
        <v/>
      </c>
      <c r="D26" s="43" t="str">
        <f t="shared" si="0"/>
        <v/>
      </c>
      <c r="E26" s="36" t="str">
        <f t="shared" si="1"/>
        <v/>
      </c>
      <c r="F26" s="6" t="str">
        <f>IF($G26="", "", _xlfn.XLOOKUP($G26,Data!$C$6:$C$123,Data!$A$6:$A$123,#N/A))</f>
        <v/>
      </c>
      <c r="G26" s="6" t="str">
        <f t="shared" si="2"/>
        <v/>
      </c>
      <c r="H26" s="6" t="str">
        <f t="shared" si="3"/>
        <v/>
      </c>
      <c r="I26" s="6" t="str">
        <f>IF($C26="", "", _xlfn.XLOOKUP($C26,Data!$B$6:$B$123,Data!$G$6:$G$123,#N/A))</f>
        <v/>
      </c>
      <c r="J26" s="39" t="str">
        <f t="shared" si="4"/>
        <v/>
      </c>
      <c r="K26" s="39" t="str">
        <f t="shared" si="5"/>
        <v/>
      </c>
      <c r="L26" s="108"/>
      <c r="M26" s="14"/>
      <c r="N26" s="14"/>
      <c r="O26" s="8" t="str">
        <f t="shared" si="6"/>
        <v/>
      </c>
      <c r="P26" s="14" t="str">
        <f t="shared" si="7"/>
        <v/>
      </c>
      <c r="Q26" s="24" t="str">
        <f>IF(O26="", "", CONCATENATE(O26, "    ",P26, "    # ", _xlfn.XLOOKUP(VALUE(O26),Data!$C$6:$C$123,Data!$A$6:$A$123,#N/A)))</f>
        <v/>
      </c>
    </row>
    <row r="27" spans="1:17" ht="15" customHeight="1" x14ac:dyDescent="0.25">
      <c r="A27" s="50"/>
      <c r="B27" s="33"/>
      <c r="C27" s="35" t="str">
        <f>IF($G27="", "", _xlfn.XLOOKUP($G27,Data!$C$6:$C$123,Data!$B$6:$B$123,#N/A))</f>
        <v/>
      </c>
      <c r="D27" s="43" t="str">
        <f t="shared" si="0"/>
        <v/>
      </c>
      <c r="E27" s="36" t="str">
        <f t="shared" si="1"/>
        <v/>
      </c>
      <c r="F27" s="6" t="str">
        <f>IF($G27="", "", _xlfn.XLOOKUP($G27,Data!$C$6:$C$123,Data!$A$6:$A$123,#N/A))</f>
        <v/>
      </c>
      <c r="G27" s="6" t="str">
        <f t="shared" si="2"/>
        <v/>
      </c>
      <c r="H27" s="6" t="str">
        <f t="shared" si="3"/>
        <v/>
      </c>
      <c r="I27" s="6" t="str">
        <f>IF($C27="", "", _xlfn.XLOOKUP($C27,Data!$B$6:$B$123,Data!$G$6:$G$123,#N/A))</f>
        <v/>
      </c>
      <c r="J27" s="39" t="str">
        <f t="shared" si="4"/>
        <v/>
      </c>
      <c r="K27" s="39" t="str">
        <f t="shared" si="5"/>
        <v/>
      </c>
      <c r="L27" s="108"/>
      <c r="M27" s="14"/>
      <c r="N27" s="14"/>
      <c r="O27" s="8" t="str">
        <f t="shared" si="6"/>
        <v/>
      </c>
      <c r="P27" s="14" t="str">
        <f t="shared" si="7"/>
        <v/>
      </c>
      <c r="Q27" s="24" t="str">
        <f>IF(O27="", "", CONCATENATE(O27, "    ",P27, "    # ", _xlfn.XLOOKUP(VALUE(O27),Data!$C$6:$C$123,Data!$A$6:$A$123,#N/A)))</f>
        <v/>
      </c>
    </row>
    <row r="28" spans="1:17" x14ac:dyDescent="0.25">
      <c r="A28" s="50"/>
      <c r="B28" s="33"/>
      <c r="C28" s="35" t="str">
        <f>IF($G28="", "", _xlfn.XLOOKUP($G28,Data!$C$6:$C$123,Data!$B$6:$B$123,#N/A))</f>
        <v/>
      </c>
      <c r="D28" s="43" t="str">
        <f t="shared" si="0"/>
        <v/>
      </c>
      <c r="E28" s="36" t="str">
        <f t="shared" si="1"/>
        <v/>
      </c>
      <c r="F28" s="6" t="str">
        <f>IF($G28="", "", _xlfn.XLOOKUP($G28,Data!$C$6:$C$123,Data!$A$6:$A$123,#N/A))</f>
        <v/>
      </c>
      <c r="G28" s="6" t="str">
        <f t="shared" si="2"/>
        <v/>
      </c>
      <c r="H28" s="6" t="str">
        <f t="shared" si="3"/>
        <v/>
      </c>
      <c r="I28" s="6" t="str">
        <f>IF($C28="", "", _xlfn.XLOOKUP($C28,Data!$B$6:$B$123,Data!$G$6:$G$123,#N/A))</f>
        <v/>
      </c>
      <c r="J28" s="39" t="str">
        <f t="shared" si="4"/>
        <v/>
      </c>
      <c r="K28" s="39" t="str">
        <f t="shared" si="5"/>
        <v/>
      </c>
      <c r="L28" s="108"/>
      <c r="M28" s="14"/>
      <c r="N28" s="14"/>
      <c r="O28" s="8" t="str">
        <f t="shared" si="6"/>
        <v/>
      </c>
      <c r="P28" s="14" t="str">
        <f t="shared" si="7"/>
        <v/>
      </c>
      <c r="Q28" s="24" t="str">
        <f>IF(O28="", "", CONCATENATE(O28, "    ",P28, "    # ", _xlfn.XLOOKUP(VALUE(O28),Data!$C$6:$C$123,Data!$A$6:$A$123,#N/A)))</f>
        <v/>
      </c>
    </row>
    <row r="29" spans="1:17" ht="15.75" thickBot="1" x14ac:dyDescent="0.3">
      <c r="A29" s="51"/>
      <c r="B29" s="34"/>
      <c r="C29" s="37" t="str">
        <f>IF($G29="", "", _xlfn.XLOOKUP($G29,Data!$C$6:$C$123,Data!$B$6:$B$123,#N/A))</f>
        <v/>
      </c>
      <c r="D29" s="44" t="str">
        <f t="shared" si="0"/>
        <v/>
      </c>
      <c r="E29" s="38" t="str">
        <f t="shared" si="1"/>
        <v/>
      </c>
      <c r="F29" s="7" t="str">
        <f>IF($G29="", "", _xlfn.XLOOKUP($G29,Data!$C$6:$C$123,Data!$A$6:$A$123,#N/A))</f>
        <v/>
      </c>
      <c r="G29" s="7" t="str">
        <f t="shared" si="2"/>
        <v/>
      </c>
      <c r="H29" s="7" t="str">
        <f t="shared" si="3"/>
        <v/>
      </c>
      <c r="I29" s="7" t="str">
        <f>IF($C29="", "", _xlfn.XLOOKUP($C29,Data!$B$6:$B$123,Data!$G$6:$G$123,#N/A))</f>
        <v/>
      </c>
      <c r="J29" s="40" t="str">
        <f t="shared" si="4"/>
        <v/>
      </c>
      <c r="K29" s="40" t="str">
        <f t="shared" si="5"/>
        <v/>
      </c>
      <c r="L29" s="109"/>
      <c r="M29" s="15"/>
      <c r="N29" s="15"/>
      <c r="O29" s="9" t="str">
        <f t="shared" si="6"/>
        <v/>
      </c>
      <c r="P29" s="15" t="str">
        <f t="shared" si="7"/>
        <v/>
      </c>
      <c r="Q29" s="25" t="str">
        <f>IF(O29="", "", CONCATENATE(O29, "    ",P29, "    # ", _xlfn.XLOOKUP(VALUE(O29),Data!$C$6:$C$123,Data!$A$6:$A$123,#N/A)))</f>
        <v/>
      </c>
    </row>
    <row r="30" spans="1:17" ht="15" customHeight="1" x14ac:dyDescent="0.25">
      <c r="B30" s="67" t="s">
        <v>407</v>
      </c>
      <c r="E30" s="67" t="s">
        <v>397</v>
      </c>
      <c r="J30" s="67" t="s">
        <v>392</v>
      </c>
      <c r="K30" s="67" t="s">
        <v>405</v>
      </c>
    </row>
    <row r="31" spans="1:17" ht="15" customHeight="1" x14ac:dyDescent="0.25">
      <c r="B31" s="68"/>
      <c r="E31" s="68"/>
      <c r="G31" s="53"/>
      <c r="J31" s="68"/>
      <c r="K31" s="68"/>
      <c r="P31" s="3"/>
    </row>
    <row r="32" spans="1:17" ht="15" customHeight="1" thickBot="1" x14ac:dyDescent="0.3">
      <c r="B32" s="68"/>
      <c r="E32" s="68"/>
      <c r="J32" s="41">
        <f>SUM(J18:J29)</f>
        <v>14.321832635016806</v>
      </c>
      <c r="K32" s="68"/>
      <c r="P32" s="3"/>
    </row>
    <row r="33" spans="2:16" ht="15.75" thickBot="1" x14ac:dyDescent="0.3">
      <c r="B33" s="52">
        <f>SUM(B18:B29)</f>
        <v>1</v>
      </c>
      <c r="E33" s="46">
        <f>SUM(E18:E29)</f>
        <v>3</v>
      </c>
      <c r="K33" s="68"/>
      <c r="N33" s="3"/>
      <c r="O33" s="3"/>
      <c r="P33" s="3"/>
    </row>
    <row r="34" spans="2:16" ht="15.75" thickBot="1" x14ac:dyDescent="0.3">
      <c r="K34" s="42">
        <f>MIN(K18:K29)</f>
        <v>5.5508219379584639E-2</v>
      </c>
      <c r="N34" s="3"/>
      <c r="O34" s="3"/>
      <c r="P34" s="3"/>
    </row>
    <row r="35" spans="2:16" x14ac:dyDescent="0.25">
      <c r="N35" s="3"/>
      <c r="O35" s="3"/>
      <c r="P35" s="3"/>
    </row>
    <row r="36" spans="2:16" x14ac:dyDescent="0.25">
      <c r="N36" s="3"/>
      <c r="O36" s="3"/>
      <c r="P36" s="3"/>
    </row>
    <row r="37" spans="2:16" x14ac:dyDescent="0.25">
      <c r="N37" s="3"/>
    </row>
  </sheetData>
  <sheetProtection sheet="1" objects="1" scenarios="1"/>
  <mergeCells count="35">
    <mergeCell ref="J30:J31"/>
    <mergeCell ref="L5:P5"/>
    <mergeCell ref="D6:P6"/>
    <mergeCell ref="F8:P8"/>
    <mergeCell ref="L12:L29"/>
    <mergeCell ref="P14:P17"/>
    <mergeCell ref="F12:F17"/>
    <mergeCell ref="G12:G17"/>
    <mergeCell ref="I12:I17"/>
    <mergeCell ref="K12:K17"/>
    <mergeCell ref="B30:B32"/>
    <mergeCell ref="A5:J5"/>
    <mergeCell ref="A1:P1"/>
    <mergeCell ref="A4:P4"/>
    <mergeCell ref="K30:K33"/>
    <mergeCell ref="H12:H17"/>
    <mergeCell ref="E30:E32"/>
    <mergeCell ref="A12:B13"/>
    <mergeCell ref="A14:A17"/>
    <mergeCell ref="B14:B17"/>
    <mergeCell ref="J12:J17"/>
    <mergeCell ref="M12:N13"/>
    <mergeCell ref="O12:P13"/>
    <mergeCell ref="M14:M17"/>
    <mergeCell ref="N14:N17"/>
    <mergeCell ref="O14:O17"/>
    <mergeCell ref="A2:P2"/>
    <mergeCell ref="A3:P3"/>
    <mergeCell ref="C12:C17"/>
    <mergeCell ref="E12:E17"/>
    <mergeCell ref="D12:D17"/>
    <mergeCell ref="G7:P7"/>
    <mergeCell ref="A10:P10"/>
    <mergeCell ref="A11:P11"/>
    <mergeCell ref="F9:P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D10F-BE27-4038-B7EF-0EF8B4870379}">
  <dimension ref="A1:Z123"/>
  <sheetViews>
    <sheetView workbookViewId="0">
      <selection activeCell="S1" sqref="S1:V4"/>
    </sheetView>
  </sheetViews>
  <sheetFormatPr defaultRowHeight="15" x14ac:dyDescent="0.25"/>
  <cols>
    <col min="1" max="1" width="21" style="18" customWidth="1"/>
    <col min="4" max="4" width="21.7109375" style="21" customWidth="1"/>
    <col min="11" max="11" width="21.7109375" style="4" customWidth="1"/>
    <col min="22" max="22" width="9.140625" style="27"/>
  </cols>
  <sheetData>
    <row r="1" spans="1:26" s="3" customFormat="1" ht="45" customHeight="1" x14ac:dyDescent="0.25">
      <c r="A1" s="134" t="s">
        <v>260</v>
      </c>
      <c r="B1" s="134"/>
      <c r="C1" s="134"/>
      <c r="D1" s="134"/>
      <c r="E1" s="134"/>
      <c r="F1" s="134"/>
      <c r="G1" s="134"/>
      <c r="I1" s="132" t="s">
        <v>375</v>
      </c>
      <c r="J1" s="132"/>
      <c r="K1" s="132"/>
      <c r="L1" s="132"/>
      <c r="M1" s="132"/>
      <c r="N1" s="132"/>
      <c r="P1" s="131" t="s">
        <v>374</v>
      </c>
      <c r="Q1" s="131"/>
      <c r="S1" s="132" t="s">
        <v>378</v>
      </c>
      <c r="T1" s="133"/>
      <c r="U1" s="133"/>
      <c r="V1" s="133"/>
    </row>
    <row r="2" spans="1:26" s="3" customFormat="1" ht="45" customHeight="1" x14ac:dyDescent="0.25">
      <c r="A2" s="135" t="s">
        <v>4</v>
      </c>
      <c r="B2" s="135"/>
      <c r="C2" s="135"/>
      <c r="D2" s="135"/>
      <c r="E2" s="135"/>
      <c r="F2" s="135"/>
      <c r="G2" s="135"/>
      <c r="I2" s="132"/>
      <c r="J2" s="132"/>
      <c r="K2" s="132"/>
      <c r="L2" s="132"/>
      <c r="M2" s="132"/>
      <c r="N2" s="132"/>
      <c r="P2" s="131"/>
      <c r="Q2" s="131"/>
      <c r="S2" s="133"/>
      <c r="T2" s="133"/>
      <c r="U2" s="133"/>
      <c r="V2" s="133"/>
    </row>
    <row r="3" spans="1:26" s="3" customFormat="1" ht="45" customHeight="1" x14ac:dyDescent="0.25">
      <c r="A3" s="135" t="s">
        <v>5</v>
      </c>
      <c r="B3" s="135"/>
      <c r="C3" s="135"/>
      <c r="D3" s="135"/>
      <c r="E3" s="135"/>
      <c r="F3" s="135"/>
      <c r="G3" s="135"/>
      <c r="I3" s="132"/>
      <c r="J3" s="132"/>
      <c r="K3" s="132"/>
      <c r="L3" s="132"/>
      <c r="M3" s="132"/>
      <c r="N3" s="132"/>
      <c r="P3" s="131"/>
      <c r="Q3" s="131"/>
      <c r="S3" s="133"/>
      <c r="T3" s="133"/>
      <c r="U3" s="133"/>
      <c r="V3" s="133"/>
    </row>
    <row r="4" spans="1:26" s="3" customFormat="1" ht="45" customHeight="1" x14ac:dyDescent="0.25">
      <c r="A4" s="136" t="s">
        <v>250</v>
      </c>
      <c r="B4" s="136"/>
      <c r="C4" s="136"/>
      <c r="D4" s="136"/>
      <c r="E4" s="136"/>
      <c r="F4" s="136"/>
      <c r="G4" s="136"/>
      <c r="I4" s="132"/>
      <c r="J4" s="132"/>
      <c r="K4" s="132"/>
      <c r="L4" s="132"/>
      <c r="M4" s="132"/>
      <c r="N4" s="132"/>
      <c r="P4" s="131"/>
      <c r="Q4" s="131"/>
      <c r="S4" s="133"/>
      <c r="T4" s="133"/>
      <c r="U4" s="133"/>
      <c r="V4" s="133"/>
    </row>
    <row r="5" spans="1:26" ht="49.5" x14ac:dyDescent="0.25">
      <c r="A5" s="1" t="s">
        <v>0</v>
      </c>
      <c r="B5" s="1" t="s">
        <v>1</v>
      </c>
      <c r="C5" s="1" t="s">
        <v>2</v>
      </c>
      <c r="D5" s="19" t="s">
        <v>3</v>
      </c>
      <c r="E5" s="1" t="s">
        <v>251</v>
      </c>
      <c r="F5" s="1" t="s">
        <v>252</v>
      </c>
      <c r="G5" s="1" t="s">
        <v>255</v>
      </c>
      <c r="I5" s="1" t="s">
        <v>2</v>
      </c>
      <c r="J5" s="1" t="s">
        <v>1</v>
      </c>
      <c r="K5" s="1" t="s">
        <v>3</v>
      </c>
      <c r="L5" s="1" t="s">
        <v>251</v>
      </c>
      <c r="M5" s="1" t="s">
        <v>252</v>
      </c>
      <c r="N5" s="1" t="s">
        <v>255</v>
      </c>
      <c r="S5" s="1" t="s">
        <v>1</v>
      </c>
      <c r="T5" s="1" t="s">
        <v>1</v>
      </c>
      <c r="U5" s="1" t="s">
        <v>0</v>
      </c>
      <c r="V5" s="26" t="s">
        <v>377</v>
      </c>
    </row>
    <row r="6" spans="1:26" ht="16.5" customHeight="1" x14ac:dyDescent="0.25">
      <c r="A6" s="17" t="s">
        <v>6</v>
      </c>
      <c r="B6" s="2" t="s">
        <v>7</v>
      </c>
      <c r="C6" s="2">
        <v>1</v>
      </c>
      <c r="D6" s="20" t="s">
        <v>8</v>
      </c>
      <c r="E6">
        <f>IF(LEFT($D6,1)="[",VALUE(MID($D6,2,FIND(",",$D6)-2)), $D6)</f>
        <v>1.0078400000000001</v>
      </c>
      <c r="F6">
        <f>IF(LEFT($D6,1)="[",VALUE(MID($D6,FIND(",",$D6)+2,FIND("]",$D6)-FIND(",",$D6)-2)), $D6)</f>
        <v>1.0081100000000001</v>
      </c>
      <c r="G6">
        <f>AVERAGE(E6,F6)</f>
        <v>1.0079750000000001</v>
      </c>
      <c r="I6" s="3">
        <v>1</v>
      </c>
      <c r="J6" s="3" t="s">
        <v>7</v>
      </c>
      <c r="K6" s="21" t="s">
        <v>361</v>
      </c>
      <c r="L6" s="3">
        <f t="shared" ref="L6" si="0">IF(LEFT($K6,1)="[",VALUE(MID($K6,2,FIND(",",$K6)-2)), $K6)</f>
        <v>1.0069999999999999</v>
      </c>
      <c r="M6" s="3">
        <f t="shared" ref="M6" si="1">IF(LEFT($K6,1)="[",VALUE(MID($K6,FIND(",",$K6)+2,FIND("]",$K6)-FIND(",",$K6)-2)), $K6)</f>
        <v>1.008</v>
      </c>
      <c r="N6" s="3">
        <f t="shared" ref="N6" si="2">AVERAGE(L6,M6)</f>
        <v>1.0074999999999998</v>
      </c>
      <c r="O6" s="3" t="s">
        <v>268</v>
      </c>
      <c r="P6">
        <f>G6-N6</f>
        <v>4.7500000000022524E-4</v>
      </c>
      <c r="Q6" s="22">
        <f>P6/N6</f>
        <v>4.7146401985134024E-4</v>
      </c>
      <c r="S6" s="3">
        <v>1</v>
      </c>
      <c r="T6" s="3" t="s">
        <v>7</v>
      </c>
      <c r="U6" s="3" t="s">
        <v>269</v>
      </c>
      <c r="V6" s="27">
        <v>8.3750000000000003E-5</v>
      </c>
    </row>
    <row r="7" spans="1:26" ht="16.5" customHeight="1" x14ac:dyDescent="0.25">
      <c r="A7" s="17" t="s">
        <v>9</v>
      </c>
      <c r="B7" s="2" t="s">
        <v>10</v>
      </c>
      <c r="C7" s="2">
        <v>2</v>
      </c>
      <c r="D7" s="20">
        <v>4.0026020000000004</v>
      </c>
      <c r="E7">
        <f>IF(LEFT($D7,1)="[",VALUE(MID($D7,2,FIND(",",$D7)-2)), $D7)</f>
        <v>4.0026020000000004</v>
      </c>
      <c r="F7">
        <f>IF(LEFT($D7,1)="[",VALUE(MID($D7,FIND(",",$D7)+2,FIND("]",$D7)-FIND(",",$D7)-2)), $D7)</f>
        <v>4.0026020000000004</v>
      </c>
      <c r="G7">
        <f t="shared" ref="G7:G8" si="3">AVERAGE(E7,F7)</f>
        <v>4.0026020000000004</v>
      </c>
      <c r="I7" s="3">
        <v>2</v>
      </c>
      <c r="J7" s="3" t="s">
        <v>10</v>
      </c>
      <c r="K7" s="21">
        <v>4.0019999999999998</v>
      </c>
      <c r="L7" s="3">
        <f>IF(LEFT($K7,1)="[",VALUE(MID($K7,2,FIND(",",$K7)-2)), $K7)</f>
        <v>4.0019999999999998</v>
      </c>
      <c r="M7" s="3">
        <f>IF(LEFT($K7,1)="[",VALUE(MID($K7,FIND(",",$K7)+2,FIND("]",$K7)-FIND(",",$K7)-2)), $K7)</f>
        <v>4.0019999999999998</v>
      </c>
      <c r="N7" s="3">
        <f t="shared" ref="N7" si="4">AVERAGE(L7,M7)</f>
        <v>4.0019999999999998</v>
      </c>
      <c r="O7" s="3"/>
      <c r="P7" s="3">
        <f t="shared" ref="P7:P70" si="5">G7-N7</f>
        <v>6.0200000000065756E-4</v>
      </c>
      <c r="Q7" s="22">
        <f t="shared" ref="Q7:Q70" si="6">P7/N7</f>
        <v>1.5042478760636123E-4</v>
      </c>
      <c r="R7" s="3"/>
      <c r="S7" s="3">
        <v>2</v>
      </c>
      <c r="T7" s="3" t="s">
        <v>10</v>
      </c>
      <c r="U7" s="3" t="s">
        <v>270</v>
      </c>
      <c r="V7" s="27">
        <v>1.663E-4</v>
      </c>
      <c r="W7" s="3"/>
      <c r="X7" s="3"/>
      <c r="Y7" s="3"/>
      <c r="Z7" s="3"/>
    </row>
    <row r="8" spans="1:26" ht="16.5" customHeight="1" x14ac:dyDescent="0.25">
      <c r="A8" s="17" t="s">
        <v>11</v>
      </c>
      <c r="B8" s="2" t="s">
        <v>12</v>
      </c>
      <c r="C8" s="2">
        <v>3</v>
      </c>
      <c r="D8" s="20" t="s">
        <v>13</v>
      </c>
      <c r="E8">
        <f>IF(LEFT($D8,1)="[",VALUE(MID($D8,2,FIND(",",$D8)-2)), $D8)</f>
        <v>6.9379999999999997</v>
      </c>
      <c r="F8">
        <f>IF(LEFT($D8,1)="[",VALUE(MID($D8,FIND(",",$D8)+2,FIND("]",$D8)-FIND(",",$D8)-2)), $D8)</f>
        <v>6.9969999999999999</v>
      </c>
      <c r="G8">
        <f t="shared" si="3"/>
        <v>6.9674999999999994</v>
      </c>
      <c r="I8" s="3">
        <v>3</v>
      </c>
      <c r="J8" s="3" t="s">
        <v>12</v>
      </c>
      <c r="K8" s="21" t="s">
        <v>13</v>
      </c>
      <c r="L8" s="3">
        <f t="shared" ref="L8:L71" si="7">IF(LEFT($K8,1)="[",VALUE(MID($K8,2,FIND(",",$K8)-2)), $K8)</f>
        <v>6.9379999999999997</v>
      </c>
      <c r="M8" s="3">
        <f t="shared" ref="M8:M71" si="8">IF(LEFT($K8,1)="[",VALUE(MID($K8,FIND(",",$K8)+2,FIND("]",$K8)-FIND(",",$K8)-2)), $K8)</f>
        <v>6.9969999999999999</v>
      </c>
      <c r="N8" s="3">
        <f t="shared" ref="N8:N71" si="9">AVERAGE(L8,M8)</f>
        <v>6.9674999999999994</v>
      </c>
      <c r="O8" s="3"/>
      <c r="P8" s="3">
        <f t="shared" si="5"/>
        <v>0</v>
      </c>
      <c r="Q8" s="22">
        <f t="shared" si="6"/>
        <v>0</v>
      </c>
      <c r="R8" s="3"/>
      <c r="S8" s="3">
        <v>3</v>
      </c>
      <c r="T8" s="3" t="s">
        <v>12</v>
      </c>
      <c r="U8" s="3" t="s">
        <v>271</v>
      </c>
      <c r="V8" s="27">
        <v>0.53400000000000003</v>
      </c>
      <c r="W8" s="3"/>
      <c r="X8" s="3"/>
      <c r="Y8" s="3"/>
      <c r="Z8" s="3"/>
    </row>
    <row r="9" spans="1:26" ht="16.5" customHeight="1" x14ac:dyDescent="0.25">
      <c r="A9" s="17" t="s">
        <v>14</v>
      </c>
      <c r="B9" s="2" t="s">
        <v>15</v>
      </c>
      <c r="C9" s="2">
        <v>4</v>
      </c>
      <c r="D9" s="20">
        <v>9.0121830999999997</v>
      </c>
      <c r="E9">
        <f t="shared" ref="E9:E72" si="10">IF(LEFT($D9,1)="[",VALUE(MID($D9,2,FIND(",",$D9)-2)), $D9)</f>
        <v>9.0121830999999997</v>
      </c>
      <c r="F9">
        <f t="shared" ref="F9:F72" si="11">IF(LEFT($D9,1)="[",VALUE(MID($D9,FIND(",",$D9)+2,FIND("]",$D9)-FIND(",",$D9)-2)), $D9)</f>
        <v>9.0121830999999997</v>
      </c>
      <c r="G9">
        <f t="shared" ref="G9:G72" si="12">AVERAGE(E9,F9)</f>
        <v>9.0121830999999997</v>
      </c>
      <c r="I9" s="3">
        <v>4</v>
      </c>
      <c r="J9" s="3" t="s">
        <v>15</v>
      </c>
      <c r="K9" s="21">
        <v>9.0120000000000005</v>
      </c>
      <c r="L9" s="3">
        <f t="shared" si="7"/>
        <v>9.0120000000000005</v>
      </c>
      <c r="M9" s="3">
        <f t="shared" si="8"/>
        <v>9.0120000000000005</v>
      </c>
      <c r="N9" s="3">
        <f t="shared" si="9"/>
        <v>9.0120000000000005</v>
      </c>
      <c r="O9" s="3"/>
      <c r="P9" s="3">
        <f t="shared" si="5"/>
        <v>1.8309999999921445E-4</v>
      </c>
      <c r="Q9" s="22">
        <f t="shared" si="6"/>
        <v>2.0317354638172929E-5</v>
      </c>
      <c r="R9" s="3"/>
      <c r="S9" s="3">
        <v>4</v>
      </c>
      <c r="T9" s="3" t="s">
        <v>15</v>
      </c>
      <c r="U9" s="3" t="s">
        <v>272</v>
      </c>
      <c r="V9" s="27">
        <v>1.8480000000000001</v>
      </c>
      <c r="W9" s="3"/>
      <c r="X9" s="3"/>
      <c r="Y9" s="3"/>
      <c r="Z9" s="3"/>
    </row>
    <row r="10" spans="1:26" ht="16.5" x14ac:dyDescent="0.25">
      <c r="A10" s="17" t="s">
        <v>16</v>
      </c>
      <c r="B10" s="2" t="s">
        <v>17</v>
      </c>
      <c r="C10" s="2">
        <v>5</v>
      </c>
      <c r="D10" s="20" t="s">
        <v>18</v>
      </c>
      <c r="E10">
        <f t="shared" si="10"/>
        <v>10.805999999999999</v>
      </c>
      <c r="F10">
        <f t="shared" si="11"/>
        <v>10.821</v>
      </c>
      <c r="G10">
        <f t="shared" si="12"/>
        <v>10.813499999999999</v>
      </c>
      <c r="I10" s="3">
        <v>5</v>
      </c>
      <c r="J10" s="3" t="s">
        <v>17</v>
      </c>
      <c r="K10" s="21" t="s">
        <v>18</v>
      </c>
      <c r="L10" s="3">
        <f t="shared" si="7"/>
        <v>10.805999999999999</v>
      </c>
      <c r="M10" s="3">
        <f t="shared" si="8"/>
        <v>10.821</v>
      </c>
      <c r="N10" s="3">
        <f t="shared" si="9"/>
        <v>10.813499999999999</v>
      </c>
      <c r="O10" s="3"/>
      <c r="P10" s="3">
        <f t="shared" si="5"/>
        <v>0</v>
      </c>
      <c r="Q10" s="22">
        <f t="shared" si="6"/>
        <v>0</v>
      </c>
      <c r="R10" s="3"/>
      <c r="S10" s="3">
        <v>5</v>
      </c>
      <c r="T10" s="3" t="s">
        <v>17</v>
      </c>
      <c r="U10" s="3" t="s">
        <v>273</v>
      </c>
      <c r="V10" s="27">
        <v>2.37</v>
      </c>
      <c r="W10" s="3"/>
      <c r="X10" s="3"/>
      <c r="Y10" s="3"/>
      <c r="Z10" s="3"/>
    </row>
    <row r="11" spans="1:26" ht="16.5" x14ac:dyDescent="0.25">
      <c r="A11" s="17" t="s">
        <v>19</v>
      </c>
      <c r="B11" s="2" t="s">
        <v>20</v>
      </c>
      <c r="C11" s="2">
        <v>6</v>
      </c>
      <c r="D11" s="20" t="s">
        <v>21</v>
      </c>
      <c r="E11">
        <f t="shared" si="10"/>
        <v>12.009600000000001</v>
      </c>
      <c r="F11">
        <f t="shared" si="11"/>
        <v>12.0116</v>
      </c>
      <c r="G11">
        <f t="shared" si="12"/>
        <v>12.0106</v>
      </c>
      <c r="I11" s="3">
        <v>6</v>
      </c>
      <c r="J11" s="3" t="s">
        <v>20</v>
      </c>
      <c r="K11" s="21" t="s">
        <v>21</v>
      </c>
      <c r="L11" s="3">
        <f t="shared" si="7"/>
        <v>12.009600000000001</v>
      </c>
      <c r="M11" s="3">
        <f t="shared" si="8"/>
        <v>12.0116</v>
      </c>
      <c r="N11" s="3">
        <f t="shared" si="9"/>
        <v>12.0106</v>
      </c>
      <c r="O11" s="3"/>
      <c r="P11" s="3">
        <f t="shared" si="5"/>
        <v>0</v>
      </c>
      <c r="Q11" s="22">
        <f t="shared" si="6"/>
        <v>0</v>
      </c>
      <c r="R11" s="3"/>
      <c r="S11" s="3">
        <v>6</v>
      </c>
      <c r="T11" s="3" t="s">
        <v>20</v>
      </c>
      <c r="U11" s="3" t="s">
        <v>274</v>
      </c>
      <c r="V11" s="27">
        <v>1.7</v>
      </c>
      <c r="W11" s="3"/>
      <c r="X11" s="3"/>
      <c r="Y11" s="3"/>
      <c r="Z11" s="3"/>
    </row>
    <row r="12" spans="1:26" ht="16.5" x14ac:dyDescent="0.25">
      <c r="A12" s="17" t="s">
        <v>22</v>
      </c>
      <c r="B12" s="2" t="s">
        <v>23</v>
      </c>
      <c r="C12" s="2">
        <v>7</v>
      </c>
      <c r="D12" s="20" t="s">
        <v>24</v>
      </c>
      <c r="E12">
        <f t="shared" si="10"/>
        <v>14.00643</v>
      </c>
      <c r="F12">
        <f t="shared" si="11"/>
        <v>14.00728</v>
      </c>
      <c r="G12">
        <f t="shared" si="12"/>
        <v>14.006855</v>
      </c>
      <c r="I12" s="3">
        <v>7</v>
      </c>
      <c r="J12" s="3" t="s">
        <v>23</v>
      </c>
      <c r="K12" s="21" t="s">
        <v>362</v>
      </c>
      <c r="L12" s="3">
        <f t="shared" si="7"/>
        <v>14.006</v>
      </c>
      <c r="M12" s="3">
        <f t="shared" si="8"/>
        <v>14.007</v>
      </c>
      <c r="N12" s="3">
        <f t="shared" si="9"/>
        <v>14.006499999999999</v>
      </c>
      <c r="O12" s="3"/>
      <c r="P12" s="3">
        <f t="shared" si="5"/>
        <v>3.5500000000077137E-4</v>
      </c>
      <c r="Q12" s="22">
        <f t="shared" si="6"/>
        <v>2.5345375361494405E-5</v>
      </c>
      <c r="R12" s="3"/>
      <c r="S12" s="3">
        <v>7</v>
      </c>
      <c r="T12" s="3" t="s">
        <v>23</v>
      </c>
      <c r="U12" s="3" t="s">
        <v>275</v>
      </c>
      <c r="V12" s="27">
        <v>1.165E-3</v>
      </c>
      <c r="W12" s="3"/>
      <c r="X12" s="3"/>
      <c r="Y12" s="3"/>
      <c r="Z12" s="3"/>
    </row>
    <row r="13" spans="1:26" ht="16.5" x14ac:dyDescent="0.25">
      <c r="A13" s="17" t="s">
        <v>25</v>
      </c>
      <c r="B13" s="2" t="s">
        <v>26</v>
      </c>
      <c r="C13" s="2">
        <v>8</v>
      </c>
      <c r="D13" s="20" t="s">
        <v>27</v>
      </c>
      <c r="E13">
        <f t="shared" si="10"/>
        <v>15.999029999999999</v>
      </c>
      <c r="F13">
        <f t="shared" si="11"/>
        <v>15.99977</v>
      </c>
      <c r="G13">
        <f t="shared" si="12"/>
        <v>15.9994</v>
      </c>
      <c r="I13" s="3">
        <v>8</v>
      </c>
      <c r="J13" s="3" t="s">
        <v>26</v>
      </c>
      <c r="K13" s="21" t="s">
        <v>363</v>
      </c>
      <c r="L13" s="3">
        <f t="shared" si="7"/>
        <v>15.999000000000001</v>
      </c>
      <c r="M13" s="3">
        <f t="shared" si="8"/>
        <v>15.999000000000001</v>
      </c>
      <c r="N13" s="3">
        <f t="shared" si="9"/>
        <v>15.999000000000001</v>
      </c>
      <c r="O13" s="3"/>
      <c r="P13" s="3">
        <f t="shared" si="5"/>
        <v>3.9999999999906777E-4</v>
      </c>
      <c r="Q13" s="22">
        <f t="shared" si="6"/>
        <v>2.5001562597604086E-5</v>
      </c>
      <c r="R13" s="3"/>
      <c r="S13" s="3">
        <v>8</v>
      </c>
      <c r="T13" s="3" t="s">
        <v>26</v>
      </c>
      <c r="U13" s="3" t="s">
        <v>276</v>
      </c>
      <c r="V13" s="27">
        <v>1.3320000000000001E-3</v>
      </c>
      <c r="W13" s="3"/>
      <c r="X13" s="3"/>
      <c r="Y13" s="3"/>
      <c r="Z13" s="3"/>
    </row>
    <row r="14" spans="1:26" ht="16.5" x14ac:dyDescent="0.25">
      <c r="A14" s="17" t="s">
        <v>28</v>
      </c>
      <c r="B14" s="2" t="s">
        <v>29</v>
      </c>
      <c r="C14" s="2">
        <v>9</v>
      </c>
      <c r="D14" s="20">
        <v>18.998403162999999</v>
      </c>
      <c r="E14">
        <f t="shared" si="10"/>
        <v>18.998403162999999</v>
      </c>
      <c r="F14">
        <f t="shared" si="11"/>
        <v>18.998403162999999</v>
      </c>
      <c r="G14">
        <f t="shared" si="12"/>
        <v>18.998403162999999</v>
      </c>
      <c r="I14" s="3">
        <v>9</v>
      </c>
      <c r="J14" s="3" t="s">
        <v>29</v>
      </c>
      <c r="K14" s="21">
        <v>18.998000000000001</v>
      </c>
      <c r="L14" s="3">
        <f t="shared" si="7"/>
        <v>18.998000000000001</v>
      </c>
      <c r="M14" s="3">
        <f t="shared" si="8"/>
        <v>18.998000000000001</v>
      </c>
      <c r="N14" s="3">
        <f t="shared" si="9"/>
        <v>18.998000000000001</v>
      </c>
      <c r="O14" s="3"/>
      <c r="P14" s="3">
        <f t="shared" si="5"/>
        <v>4.0316299999787475E-4</v>
      </c>
      <c r="Q14" s="22">
        <f t="shared" si="6"/>
        <v>2.1221339088213219E-5</v>
      </c>
      <c r="R14" s="3"/>
      <c r="S14" s="3">
        <v>9</v>
      </c>
      <c r="T14" s="3" t="s">
        <v>29</v>
      </c>
      <c r="U14" s="3" t="s">
        <v>277</v>
      </c>
      <c r="V14" s="27">
        <v>1.58E-3</v>
      </c>
      <c r="W14" s="3"/>
      <c r="X14" s="3"/>
      <c r="Y14" s="3"/>
      <c r="Z14" s="3"/>
    </row>
    <row r="15" spans="1:26" ht="16.5" x14ac:dyDescent="0.25">
      <c r="A15" s="17" t="s">
        <v>30</v>
      </c>
      <c r="B15" s="2" t="s">
        <v>31</v>
      </c>
      <c r="C15" s="2">
        <v>10</v>
      </c>
      <c r="D15" s="20">
        <v>20.1797</v>
      </c>
      <c r="E15">
        <f t="shared" si="10"/>
        <v>20.1797</v>
      </c>
      <c r="F15">
        <f t="shared" si="11"/>
        <v>20.1797</v>
      </c>
      <c r="G15">
        <f t="shared" si="12"/>
        <v>20.1797</v>
      </c>
      <c r="I15" s="3">
        <v>10</v>
      </c>
      <c r="J15" s="3" t="s">
        <v>31</v>
      </c>
      <c r="K15" s="21">
        <v>20.1797</v>
      </c>
      <c r="L15" s="3">
        <f t="shared" si="7"/>
        <v>20.1797</v>
      </c>
      <c r="M15" s="3">
        <f t="shared" si="8"/>
        <v>20.1797</v>
      </c>
      <c r="N15" s="3">
        <f t="shared" si="9"/>
        <v>20.1797</v>
      </c>
      <c r="O15" s="3"/>
      <c r="P15" s="3">
        <f t="shared" si="5"/>
        <v>0</v>
      </c>
      <c r="Q15" s="22">
        <f t="shared" si="6"/>
        <v>0</v>
      </c>
      <c r="R15" s="3"/>
      <c r="S15" s="3">
        <v>10</v>
      </c>
      <c r="T15" s="3" t="s">
        <v>31</v>
      </c>
      <c r="U15" s="3" t="s">
        <v>278</v>
      </c>
      <c r="V15" s="27">
        <v>8.3850000000000005E-4</v>
      </c>
      <c r="W15" s="3"/>
      <c r="X15" s="3"/>
      <c r="Y15" s="3"/>
      <c r="Z15" s="3"/>
    </row>
    <row r="16" spans="1:26" ht="16.5" x14ac:dyDescent="0.25">
      <c r="A16" s="17" t="s">
        <v>32</v>
      </c>
      <c r="B16" s="2" t="s">
        <v>33</v>
      </c>
      <c r="C16" s="2">
        <v>11</v>
      </c>
      <c r="D16" s="20">
        <v>22.989769280000001</v>
      </c>
      <c r="E16">
        <f t="shared" si="10"/>
        <v>22.989769280000001</v>
      </c>
      <c r="F16">
        <f t="shared" si="11"/>
        <v>22.989769280000001</v>
      </c>
      <c r="G16">
        <f t="shared" si="12"/>
        <v>22.989769280000001</v>
      </c>
      <c r="I16" s="3">
        <v>11</v>
      </c>
      <c r="J16" s="3" t="s">
        <v>33</v>
      </c>
      <c r="K16" s="21">
        <v>22.989000000000001</v>
      </c>
      <c r="L16" s="3">
        <f t="shared" si="7"/>
        <v>22.989000000000001</v>
      </c>
      <c r="M16" s="3">
        <f t="shared" si="8"/>
        <v>22.989000000000001</v>
      </c>
      <c r="N16" s="3">
        <f t="shared" si="9"/>
        <v>22.989000000000001</v>
      </c>
      <c r="O16" s="3"/>
      <c r="P16" s="3">
        <f t="shared" si="5"/>
        <v>7.6928000000009433E-4</v>
      </c>
      <c r="Q16" s="22">
        <f t="shared" si="6"/>
        <v>3.3462960546352357E-5</v>
      </c>
      <c r="R16" s="3"/>
      <c r="S16" s="3">
        <v>11</v>
      </c>
      <c r="T16" s="3" t="s">
        <v>33</v>
      </c>
      <c r="U16" s="3" t="s">
        <v>279</v>
      </c>
      <c r="V16" s="27">
        <v>0.97099999999999997</v>
      </c>
      <c r="W16" s="3"/>
      <c r="X16" s="3"/>
      <c r="Y16" s="3"/>
      <c r="Z16" s="3"/>
    </row>
    <row r="17" spans="1:26" ht="16.5" x14ac:dyDescent="0.25">
      <c r="A17" s="17" t="s">
        <v>34</v>
      </c>
      <c r="B17" s="2" t="s">
        <v>35</v>
      </c>
      <c r="C17" s="2">
        <v>12</v>
      </c>
      <c r="D17" s="20" t="s">
        <v>36</v>
      </c>
      <c r="E17">
        <f t="shared" si="10"/>
        <v>24.303999999999998</v>
      </c>
      <c r="F17">
        <f t="shared" si="11"/>
        <v>24.306999999999999</v>
      </c>
      <c r="G17">
        <f t="shared" si="12"/>
        <v>24.305499999999999</v>
      </c>
      <c r="I17" s="3">
        <v>12</v>
      </c>
      <c r="J17" s="3" t="s">
        <v>35</v>
      </c>
      <c r="K17" s="21" t="s">
        <v>36</v>
      </c>
      <c r="L17" s="3">
        <f t="shared" si="7"/>
        <v>24.303999999999998</v>
      </c>
      <c r="M17" s="3">
        <f t="shared" si="8"/>
        <v>24.306999999999999</v>
      </c>
      <c r="N17" s="3">
        <f t="shared" si="9"/>
        <v>24.305499999999999</v>
      </c>
      <c r="O17" s="3"/>
      <c r="P17" s="3">
        <f t="shared" si="5"/>
        <v>0</v>
      </c>
      <c r="Q17" s="22">
        <f t="shared" si="6"/>
        <v>0</v>
      </c>
      <c r="R17" s="3"/>
      <c r="S17" s="3">
        <v>12</v>
      </c>
      <c r="T17" s="3" t="s">
        <v>35</v>
      </c>
      <c r="U17" s="3" t="s">
        <v>280</v>
      </c>
      <c r="V17" s="27">
        <v>1.74</v>
      </c>
      <c r="W17" s="3"/>
      <c r="X17" s="3"/>
      <c r="Y17" s="3"/>
      <c r="Z17" s="3"/>
    </row>
    <row r="18" spans="1:26" ht="16.5" x14ac:dyDescent="0.25">
      <c r="A18" s="17" t="s">
        <v>253</v>
      </c>
      <c r="B18" s="2" t="s">
        <v>37</v>
      </c>
      <c r="C18" s="2">
        <v>13</v>
      </c>
      <c r="D18" s="20">
        <v>26.981538499999999</v>
      </c>
      <c r="E18">
        <f t="shared" si="10"/>
        <v>26.981538499999999</v>
      </c>
      <c r="F18">
        <f t="shared" si="11"/>
        <v>26.981538499999999</v>
      </c>
      <c r="G18">
        <f t="shared" si="12"/>
        <v>26.981538499999999</v>
      </c>
      <c r="I18" s="3">
        <v>13</v>
      </c>
      <c r="J18" s="3" t="s">
        <v>37</v>
      </c>
      <c r="K18" s="21">
        <v>26.981000000000002</v>
      </c>
      <c r="L18" s="3">
        <f t="shared" si="7"/>
        <v>26.981000000000002</v>
      </c>
      <c r="M18" s="3">
        <f t="shared" si="8"/>
        <v>26.981000000000002</v>
      </c>
      <c r="N18" s="3">
        <f t="shared" si="9"/>
        <v>26.981000000000002</v>
      </c>
      <c r="O18" s="3"/>
      <c r="P18" s="3">
        <f t="shared" si="5"/>
        <v>5.3849999999755482E-4</v>
      </c>
      <c r="Q18" s="22">
        <f t="shared" si="6"/>
        <v>1.9958489307199689E-5</v>
      </c>
      <c r="R18" s="3"/>
      <c r="S18" s="3">
        <v>13</v>
      </c>
      <c r="T18" s="3" t="s">
        <v>37</v>
      </c>
      <c r="U18" s="3" t="s">
        <v>281</v>
      </c>
      <c r="V18" s="27">
        <v>2.6989999999999998</v>
      </c>
      <c r="W18" s="3"/>
      <c r="X18" s="3"/>
      <c r="Y18" s="3"/>
      <c r="Z18" s="3"/>
    </row>
    <row r="19" spans="1:26" ht="16.5" x14ac:dyDescent="0.25">
      <c r="A19" s="17" t="s">
        <v>38</v>
      </c>
      <c r="B19" s="2" t="s">
        <v>39</v>
      </c>
      <c r="C19" s="2">
        <v>14</v>
      </c>
      <c r="D19" s="20" t="s">
        <v>40</v>
      </c>
      <c r="E19">
        <f t="shared" si="10"/>
        <v>28.084</v>
      </c>
      <c r="F19">
        <f t="shared" si="11"/>
        <v>28.085999999999999</v>
      </c>
      <c r="G19">
        <f t="shared" si="12"/>
        <v>28.085000000000001</v>
      </c>
      <c r="I19" s="3">
        <v>14</v>
      </c>
      <c r="J19" s="3" t="s">
        <v>39</v>
      </c>
      <c r="K19" s="21" t="s">
        <v>40</v>
      </c>
      <c r="L19" s="3">
        <f t="shared" si="7"/>
        <v>28.084</v>
      </c>
      <c r="M19" s="3">
        <f t="shared" si="8"/>
        <v>28.085999999999999</v>
      </c>
      <c r="N19" s="3">
        <f t="shared" si="9"/>
        <v>28.085000000000001</v>
      </c>
      <c r="O19" s="3"/>
      <c r="P19" s="3">
        <f t="shared" si="5"/>
        <v>0</v>
      </c>
      <c r="Q19" s="22">
        <f t="shared" si="6"/>
        <v>0</v>
      </c>
      <c r="R19" s="3"/>
      <c r="S19" s="3">
        <v>14</v>
      </c>
      <c r="T19" s="3" t="s">
        <v>39</v>
      </c>
      <c r="U19" s="3" t="s">
        <v>282</v>
      </c>
      <c r="V19" s="27">
        <v>2.33</v>
      </c>
      <c r="W19" s="3"/>
      <c r="X19" s="3"/>
      <c r="Y19" s="3"/>
      <c r="Z19" s="3"/>
    </row>
    <row r="20" spans="1:26" ht="16.5" x14ac:dyDescent="0.25">
      <c r="A20" s="17" t="s">
        <v>41</v>
      </c>
      <c r="B20" s="2" t="s">
        <v>42</v>
      </c>
      <c r="C20" s="2">
        <v>15</v>
      </c>
      <c r="D20" s="20">
        <v>30.973761998000001</v>
      </c>
      <c r="E20">
        <f t="shared" si="10"/>
        <v>30.973761998000001</v>
      </c>
      <c r="F20">
        <f t="shared" si="11"/>
        <v>30.973761998000001</v>
      </c>
      <c r="G20">
        <f t="shared" si="12"/>
        <v>30.973761998000001</v>
      </c>
      <c r="I20" s="3">
        <v>15</v>
      </c>
      <c r="J20" s="3" t="s">
        <v>42</v>
      </c>
      <c r="K20" s="21">
        <v>30.972999999999999</v>
      </c>
      <c r="L20" s="3">
        <f t="shared" si="7"/>
        <v>30.972999999999999</v>
      </c>
      <c r="M20" s="3">
        <f t="shared" si="8"/>
        <v>30.972999999999999</v>
      </c>
      <c r="N20" s="3">
        <f t="shared" si="9"/>
        <v>30.972999999999999</v>
      </c>
      <c r="O20" s="3"/>
      <c r="P20" s="3">
        <f t="shared" si="5"/>
        <v>7.6199800000154028E-4</v>
      </c>
      <c r="Q20" s="22">
        <f t="shared" si="6"/>
        <v>2.4602008200740653E-5</v>
      </c>
      <c r="R20" s="3"/>
      <c r="S20" s="3">
        <v>15</v>
      </c>
      <c r="T20" s="3" t="s">
        <v>42</v>
      </c>
      <c r="U20" s="3" t="s">
        <v>283</v>
      </c>
      <c r="V20" s="27">
        <v>2.2000000000000002</v>
      </c>
      <c r="W20" s="3"/>
      <c r="X20" s="3"/>
      <c r="Y20" s="3"/>
      <c r="Z20" s="3"/>
    </row>
    <row r="21" spans="1:26" ht="16.5" x14ac:dyDescent="0.25">
      <c r="A21" s="17" t="s">
        <v>385</v>
      </c>
      <c r="B21" s="2" t="s">
        <v>43</v>
      </c>
      <c r="C21" s="2">
        <v>16</v>
      </c>
      <c r="D21" s="20" t="s">
        <v>44</v>
      </c>
      <c r="E21">
        <f t="shared" si="10"/>
        <v>32.058999999999997</v>
      </c>
      <c r="F21">
        <f t="shared" si="11"/>
        <v>32.076000000000001</v>
      </c>
      <c r="G21">
        <f t="shared" si="12"/>
        <v>32.067499999999995</v>
      </c>
      <c r="I21" s="3">
        <v>16</v>
      </c>
      <c r="J21" s="3" t="s">
        <v>43</v>
      </c>
      <c r="K21" s="21" t="s">
        <v>44</v>
      </c>
      <c r="L21" s="3">
        <f t="shared" si="7"/>
        <v>32.058999999999997</v>
      </c>
      <c r="M21" s="3">
        <f t="shared" si="8"/>
        <v>32.076000000000001</v>
      </c>
      <c r="N21" s="3">
        <f t="shared" si="9"/>
        <v>32.067499999999995</v>
      </c>
      <c r="O21" s="3"/>
      <c r="P21" s="3">
        <f t="shared" si="5"/>
        <v>0</v>
      </c>
      <c r="Q21" s="22">
        <f t="shared" si="6"/>
        <v>0</v>
      </c>
      <c r="R21" s="3"/>
      <c r="S21" s="3">
        <v>16</v>
      </c>
      <c r="T21" s="3" t="s">
        <v>43</v>
      </c>
      <c r="U21" s="3" t="s">
        <v>284</v>
      </c>
      <c r="V21" s="27">
        <v>2</v>
      </c>
      <c r="W21" s="3"/>
      <c r="X21" s="3"/>
      <c r="Y21" s="3"/>
      <c r="Z21" s="3"/>
    </row>
    <row r="22" spans="1:26" ht="16.5" x14ac:dyDescent="0.25">
      <c r="A22" s="17" t="s">
        <v>45</v>
      </c>
      <c r="B22" s="2" t="s">
        <v>46</v>
      </c>
      <c r="C22" s="2">
        <v>17</v>
      </c>
      <c r="D22" s="20" t="s">
        <v>47</v>
      </c>
      <c r="E22">
        <f t="shared" si="10"/>
        <v>35.445999999999998</v>
      </c>
      <c r="F22">
        <f t="shared" si="11"/>
        <v>35.457000000000001</v>
      </c>
      <c r="G22">
        <f t="shared" si="12"/>
        <v>35.451499999999996</v>
      </c>
      <c r="I22" s="3">
        <v>17</v>
      </c>
      <c r="J22" s="3" t="s">
        <v>46</v>
      </c>
      <c r="K22" s="21" t="s">
        <v>47</v>
      </c>
      <c r="L22" s="3">
        <f t="shared" si="7"/>
        <v>35.445999999999998</v>
      </c>
      <c r="M22" s="3">
        <f t="shared" si="8"/>
        <v>35.457000000000001</v>
      </c>
      <c r="N22" s="3">
        <f t="shared" si="9"/>
        <v>35.451499999999996</v>
      </c>
      <c r="O22" s="3"/>
      <c r="P22" s="3">
        <f t="shared" si="5"/>
        <v>0</v>
      </c>
      <c r="Q22" s="22">
        <f t="shared" si="6"/>
        <v>0</v>
      </c>
      <c r="R22" s="3"/>
      <c r="S22" s="3">
        <v>17</v>
      </c>
      <c r="T22" s="3" t="s">
        <v>46</v>
      </c>
      <c r="U22" s="3" t="s">
        <v>285</v>
      </c>
      <c r="V22" s="27">
        <v>2.9949999999999998E-3</v>
      </c>
      <c r="W22" s="3"/>
      <c r="X22" s="3"/>
      <c r="Y22" s="3"/>
      <c r="Z22" s="3"/>
    </row>
    <row r="23" spans="1:26" ht="16.5" x14ac:dyDescent="0.25">
      <c r="A23" s="17" t="s">
        <v>48</v>
      </c>
      <c r="B23" s="2" t="s">
        <v>49</v>
      </c>
      <c r="C23" s="2">
        <v>18</v>
      </c>
      <c r="D23" s="20">
        <v>39.948</v>
      </c>
      <c r="E23">
        <f t="shared" si="10"/>
        <v>39.948</v>
      </c>
      <c r="F23">
        <f t="shared" si="11"/>
        <v>39.948</v>
      </c>
      <c r="G23">
        <f t="shared" si="12"/>
        <v>39.948</v>
      </c>
      <c r="I23" s="3">
        <v>18</v>
      </c>
      <c r="J23" s="3" t="s">
        <v>49</v>
      </c>
      <c r="K23" s="21">
        <v>39.948</v>
      </c>
      <c r="L23" s="3">
        <f t="shared" si="7"/>
        <v>39.948</v>
      </c>
      <c r="M23" s="3">
        <f t="shared" si="8"/>
        <v>39.948</v>
      </c>
      <c r="N23" s="3">
        <f t="shared" si="9"/>
        <v>39.948</v>
      </c>
      <c r="O23" s="3"/>
      <c r="P23" s="3">
        <f t="shared" si="5"/>
        <v>0</v>
      </c>
      <c r="Q23" s="22">
        <f t="shared" si="6"/>
        <v>0</v>
      </c>
      <c r="R23" s="3"/>
      <c r="S23" s="3">
        <v>18</v>
      </c>
      <c r="T23" s="3" t="s">
        <v>49</v>
      </c>
      <c r="U23" s="3" t="s">
        <v>286</v>
      </c>
      <c r="V23" s="27">
        <v>1.6620000000000001E-3</v>
      </c>
      <c r="W23" s="3"/>
      <c r="X23" s="3"/>
      <c r="Y23" s="3"/>
      <c r="Z23" s="3"/>
    </row>
    <row r="24" spans="1:26" ht="16.5" x14ac:dyDescent="0.25">
      <c r="A24" s="17" t="s">
        <v>50</v>
      </c>
      <c r="B24" s="2" t="s">
        <v>51</v>
      </c>
      <c r="C24" s="2">
        <v>19</v>
      </c>
      <c r="D24" s="20">
        <v>39.098300000000002</v>
      </c>
      <c r="E24">
        <f t="shared" si="10"/>
        <v>39.098300000000002</v>
      </c>
      <c r="F24">
        <f t="shared" si="11"/>
        <v>39.098300000000002</v>
      </c>
      <c r="G24">
        <f t="shared" si="12"/>
        <v>39.098300000000002</v>
      </c>
      <c r="I24" s="3">
        <v>19</v>
      </c>
      <c r="J24" s="3" t="s">
        <v>51</v>
      </c>
      <c r="K24" s="21">
        <v>39.098300000000002</v>
      </c>
      <c r="L24" s="3">
        <f t="shared" si="7"/>
        <v>39.098300000000002</v>
      </c>
      <c r="M24" s="3">
        <f t="shared" si="8"/>
        <v>39.098300000000002</v>
      </c>
      <c r="N24" s="3">
        <f t="shared" si="9"/>
        <v>39.098300000000002</v>
      </c>
      <c r="O24" s="3"/>
      <c r="P24" s="3">
        <f t="shared" si="5"/>
        <v>0</v>
      </c>
      <c r="Q24" s="22">
        <f t="shared" si="6"/>
        <v>0</v>
      </c>
      <c r="R24" s="3"/>
      <c r="S24" s="3">
        <v>19</v>
      </c>
      <c r="T24" s="3" t="s">
        <v>51</v>
      </c>
      <c r="U24" s="3" t="s">
        <v>287</v>
      </c>
      <c r="V24" s="27">
        <v>0.86199999999999999</v>
      </c>
      <c r="W24" s="3"/>
      <c r="X24" s="3"/>
      <c r="Y24" s="3"/>
      <c r="Z24" s="3"/>
    </row>
    <row r="25" spans="1:26" ht="16.5" x14ac:dyDescent="0.25">
      <c r="A25" s="17" t="s">
        <v>52</v>
      </c>
      <c r="B25" s="2" t="s">
        <v>53</v>
      </c>
      <c r="C25" s="2">
        <v>20</v>
      </c>
      <c r="D25" s="20">
        <v>40.078000000000003</v>
      </c>
      <c r="E25">
        <f t="shared" si="10"/>
        <v>40.078000000000003</v>
      </c>
      <c r="F25">
        <f t="shared" si="11"/>
        <v>40.078000000000003</v>
      </c>
      <c r="G25">
        <f t="shared" si="12"/>
        <v>40.078000000000003</v>
      </c>
      <c r="I25" s="3">
        <v>20</v>
      </c>
      <c r="J25" s="3" t="s">
        <v>53</v>
      </c>
      <c r="K25" s="21">
        <v>40.078000000000003</v>
      </c>
      <c r="L25" s="3">
        <f t="shared" si="7"/>
        <v>40.078000000000003</v>
      </c>
      <c r="M25" s="3">
        <f t="shared" si="8"/>
        <v>40.078000000000003</v>
      </c>
      <c r="N25" s="3">
        <f t="shared" si="9"/>
        <v>40.078000000000003</v>
      </c>
      <c r="O25" s="3"/>
      <c r="P25" s="3">
        <f t="shared" si="5"/>
        <v>0</v>
      </c>
      <c r="Q25" s="22">
        <f t="shared" si="6"/>
        <v>0</v>
      </c>
      <c r="R25" s="3"/>
      <c r="S25" s="3">
        <v>20</v>
      </c>
      <c r="T25" s="3" t="s">
        <v>53</v>
      </c>
      <c r="U25" s="3" t="s">
        <v>288</v>
      </c>
      <c r="V25" s="27">
        <v>1.55</v>
      </c>
      <c r="W25" s="3"/>
      <c r="X25" s="3"/>
      <c r="Y25" s="3"/>
      <c r="Z25" s="3"/>
    </row>
    <row r="26" spans="1:26" ht="16.5" x14ac:dyDescent="0.25">
      <c r="A26" s="17" t="s">
        <v>54</v>
      </c>
      <c r="B26" s="2" t="s">
        <v>55</v>
      </c>
      <c r="C26" s="2">
        <v>21</v>
      </c>
      <c r="D26" s="20">
        <v>44.955908000000001</v>
      </c>
      <c r="E26">
        <f t="shared" si="10"/>
        <v>44.955908000000001</v>
      </c>
      <c r="F26">
        <f t="shared" si="11"/>
        <v>44.955908000000001</v>
      </c>
      <c r="G26">
        <f t="shared" si="12"/>
        <v>44.955908000000001</v>
      </c>
      <c r="I26" s="3">
        <v>21</v>
      </c>
      <c r="J26" s="3" t="s">
        <v>55</v>
      </c>
      <c r="K26" s="21">
        <v>44.954999999999998</v>
      </c>
      <c r="L26" s="3">
        <f t="shared" si="7"/>
        <v>44.954999999999998</v>
      </c>
      <c r="M26" s="3">
        <f t="shared" si="8"/>
        <v>44.954999999999998</v>
      </c>
      <c r="N26" s="3">
        <f t="shared" si="9"/>
        <v>44.954999999999998</v>
      </c>
      <c r="O26" s="3"/>
      <c r="P26" s="3">
        <f t="shared" si="5"/>
        <v>9.0800000000257342E-4</v>
      </c>
      <c r="Q26" s="22">
        <f t="shared" si="6"/>
        <v>2.0197975753588554E-5</v>
      </c>
      <c r="R26" s="3"/>
      <c r="S26" s="3">
        <v>21</v>
      </c>
      <c r="T26" s="3" t="s">
        <v>55</v>
      </c>
      <c r="U26" s="3" t="s">
        <v>289</v>
      </c>
      <c r="V26" s="27">
        <v>2.9889999999999999</v>
      </c>
      <c r="W26" s="3"/>
      <c r="X26" s="3"/>
      <c r="Y26" s="3"/>
      <c r="Z26" s="3"/>
    </row>
    <row r="27" spans="1:26" ht="16.5" x14ac:dyDescent="0.25">
      <c r="A27" s="17" t="s">
        <v>56</v>
      </c>
      <c r="B27" s="2" t="s">
        <v>57</v>
      </c>
      <c r="C27" s="2">
        <v>22</v>
      </c>
      <c r="D27" s="20">
        <v>47.866999999999997</v>
      </c>
      <c r="E27">
        <f t="shared" si="10"/>
        <v>47.866999999999997</v>
      </c>
      <c r="F27">
        <f t="shared" si="11"/>
        <v>47.866999999999997</v>
      </c>
      <c r="G27">
        <f t="shared" si="12"/>
        <v>47.866999999999997</v>
      </c>
      <c r="I27" s="3">
        <v>22</v>
      </c>
      <c r="J27" s="3" t="s">
        <v>57</v>
      </c>
      <c r="K27" s="21">
        <v>47.866999999999997</v>
      </c>
      <c r="L27" s="3">
        <f t="shared" si="7"/>
        <v>47.866999999999997</v>
      </c>
      <c r="M27" s="3">
        <f t="shared" si="8"/>
        <v>47.866999999999997</v>
      </c>
      <c r="N27" s="3">
        <f t="shared" si="9"/>
        <v>47.866999999999997</v>
      </c>
      <c r="O27" s="3"/>
      <c r="P27" s="3">
        <f t="shared" si="5"/>
        <v>0</v>
      </c>
      <c r="Q27" s="22">
        <f t="shared" si="6"/>
        <v>0</v>
      </c>
      <c r="R27" s="3"/>
      <c r="S27" s="3">
        <v>22</v>
      </c>
      <c r="T27" s="3" t="s">
        <v>57</v>
      </c>
      <c r="U27" s="3" t="s">
        <v>290</v>
      </c>
      <c r="V27" s="27">
        <v>4.54</v>
      </c>
      <c r="W27" s="3"/>
      <c r="X27" s="3"/>
      <c r="Y27" s="3"/>
      <c r="Z27" s="3"/>
    </row>
    <row r="28" spans="1:26" ht="16.5" x14ac:dyDescent="0.25">
      <c r="A28" s="17" t="s">
        <v>58</v>
      </c>
      <c r="B28" s="2" t="s">
        <v>59</v>
      </c>
      <c r="C28" s="2">
        <v>23</v>
      </c>
      <c r="D28" s="20">
        <v>50.941499999999998</v>
      </c>
      <c r="E28">
        <f t="shared" si="10"/>
        <v>50.941499999999998</v>
      </c>
      <c r="F28">
        <f t="shared" si="11"/>
        <v>50.941499999999998</v>
      </c>
      <c r="G28">
        <f t="shared" si="12"/>
        <v>50.941499999999998</v>
      </c>
      <c r="I28" s="3">
        <v>23</v>
      </c>
      <c r="J28" s="3" t="s">
        <v>59</v>
      </c>
      <c r="K28" s="21">
        <v>50.941499999999998</v>
      </c>
      <c r="L28" s="3">
        <f t="shared" si="7"/>
        <v>50.941499999999998</v>
      </c>
      <c r="M28" s="3">
        <f t="shared" si="8"/>
        <v>50.941499999999998</v>
      </c>
      <c r="N28" s="3">
        <f t="shared" si="9"/>
        <v>50.941499999999998</v>
      </c>
      <c r="O28" s="3"/>
      <c r="P28" s="3">
        <f t="shared" si="5"/>
        <v>0</v>
      </c>
      <c r="Q28" s="22">
        <f t="shared" si="6"/>
        <v>0</v>
      </c>
      <c r="R28" s="3"/>
      <c r="S28" s="3">
        <v>23</v>
      </c>
      <c r="T28" s="3" t="s">
        <v>59</v>
      </c>
      <c r="U28" s="3" t="s">
        <v>291</v>
      </c>
      <c r="V28" s="27">
        <v>6.11</v>
      </c>
      <c r="W28" s="3"/>
      <c r="X28" s="3"/>
      <c r="Y28" s="3"/>
      <c r="Z28" s="3"/>
    </row>
    <row r="29" spans="1:26" ht="16.5" x14ac:dyDescent="0.25">
      <c r="A29" s="17" t="s">
        <v>60</v>
      </c>
      <c r="B29" s="2" t="s">
        <v>61</v>
      </c>
      <c r="C29" s="2">
        <v>24</v>
      </c>
      <c r="D29" s="20">
        <v>51.996099999999998</v>
      </c>
      <c r="E29">
        <f t="shared" si="10"/>
        <v>51.996099999999998</v>
      </c>
      <c r="F29">
        <f t="shared" si="11"/>
        <v>51.996099999999998</v>
      </c>
      <c r="G29">
        <f t="shared" si="12"/>
        <v>51.996099999999998</v>
      </c>
      <c r="I29" s="3">
        <v>24</v>
      </c>
      <c r="J29" s="3" t="s">
        <v>61</v>
      </c>
      <c r="K29" s="21">
        <v>51.996099999999998</v>
      </c>
      <c r="L29" s="3">
        <f t="shared" si="7"/>
        <v>51.996099999999998</v>
      </c>
      <c r="M29" s="3">
        <f t="shared" si="8"/>
        <v>51.996099999999998</v>
      </c>
      <c r="N29" s="3">
        <f t="shared" si="9"/>
        <v>51.996099999999998</v>
      </c>
      <c r="O29" s="3"/>
      <c r="P29" s="3">
        <f t="shared" si="5"/>
        <v>0</v>
      </c>
      <c r="Q29" s="22">
        <f t="shared" si="6"/>
        <v>0</v>
      </c>
      <c r="R29" s="3"/>
      <c r="S29" s="3">
        <v>24</v>
      </c>
      <c r="T29" s="3" t="s">
        <v>61</v>
      </c>
      <c r="U29" s="3" t="s">
        <v>292</v>
      </c>
      <c r="V29" s="27">
        <v>7.18</v>
      </c>
      <c r="W29" s="3"/>
      <c r="X29" s="3"/>
      <c r="Y29" s="3"/>
      <c r="Z29" s="3"/>
    </row>
    <row r="30" spans="1:26" ht="16.5" x14ac:dyDescent="0.25">
      <c r="A30" s="17" t="s">
        <v>62</v>
      </c>
      <c r="B30" s="2" t="s">
        <v>63</v>
      </c>
      <c r="C30" s="2">
        <v>25</v>
      </c>
      <c r="D30" s="20">
        <v>54.938043999999998</v>
      </c>
      <c r="E30">
        <f t="shared" si="10"/>
        <v>54.938043999999998</v>
      </c>
      <c r="F30">
        <f t="shared" si="11"/>
        <v>54.938043999999998</v>
      </c>
      <c r="G30">
        <f t="shared" si="12"/>
        <v>54.938043999999998</v>
      </c>
      <c r="I30" s="3">
        <v>25</v>
      </c>
      <c r="J30" s="3" t="s">
        <v>63</v>
      </c>
      <c r="K30" s="21">
        <v>54.938000000000002</v>
      </c>
      <c r="L30" s="3">
        <f t="shared" si="7"/>
        <v>54.938000000000002</v>
      </c>
      <c r="M30" s="3">
        <f t="shared" si="8"/>
        <v>54.938000000000002</v>
      </c>
      <c r="N30" s="3">
        <f t="shared" si="9"/>
        <v>54.938000000000002</v>
      </c>
      <c r="O30" s="3"/>
      <c r="P30" s="3">
        <f t="shared" si="5"/>
        <v>4.399999999549209E-5</v>
      </c>
      <c r="Q30" s="22">
        <f t="shared" si="6"/>
        <v>8.0090283584207817E-7</v>
      </c>
      <c r="R30" s="3"/>
      <c r="S30" s="3">
        <v>25</v>
      </c>
      <c r="T30" s="3" t="s">
        <v>63</v>
      </c>
      <c r="U30" s="3" t="s">
        <v>293</v>
      </c>
      <c r="V30" s="27">
        <v>7.44</v>
      </c>
      <c r="W30" s="3"/>
      <c r="X30" s="3"/>
      <c r="Y30" s="3"/>
      <c r="Z30" s="3"/>
    </row>
    <row r="31" spans="1:26" ht="16.5" x14ac:dyDescent="0.25">
      <c r="A31" s="17" t="s">
        <v>64</v>
      </c>
      <c r="B31" s="2" t="s">
        <v>65</v>
      </c>
      <c r="C31" s="2">
        <v>26</v>
      </c>
      <c r="D31" s="20">
        <v>55.844999999999999</v>
      </c>
      <c r="E31">
        <f t="shared" si="10"/>
        <v>55.844999999999999</v>
      </c>
      <c r="F31">
        <f t="shared" si="11"/>
        <v>55.844999999999999</v>
      </c>
      <c r="G31">
        <f t="shared" si="12"/>
        <v>55.844999999999999</v>
      </c>
      <c r="I31" s="3">
        <v>26</v>
      </c>
      <c r="J31" s="3" t="s">
        <v>65</v>
      </c>
      <c r="K31" s="21">
        <v>55.844999999999999</v>
      </c>
      <c r="L31" s="3">
        <f t="shared" si="7"/>
        <v>55.844999999999999</v>
      </c>
      <c r="M31" s="3">
        <f t="shared" si="8"/>
        <v>55.844999999999999</v>
      </c>
      <c r="N31" s="3">
        <f t="shared" si="9"/>
        <v>55.844999999999999</v>
      </c>
      <c r="O31" s="3"/>
      <c r="P31" s="3">
        <f t="shared" si="5"/>
        <v>0</v>
      </c>
      <c r="Q31" s="22">
        <f t="shared" si="6"/>
        <v>0</v>
      </c>
      <c r="R31" s="3"/>
      <c r="S31" s="3">
        <v>26</v>
      </c>
      <c r="T31" s="3" t="s">
        <v>65</v>
      </c>
      <c r="U31" s="3" t="s">
        <v>294</v>
      </c>
      <c r="V31" s="27">
        <v>7.8739999999999997</v>
      </c>
      <c r="W31" s="3"/>
      <c r="X31" s="3"/>
      <c r="Y31" s="3"/>
      <c r="Z31" s="3"/>
    </row>
    <row r="32" spans="1:26" ht="16.5" x14ac:dyDescent="0.25">
      <c r="A32" s="17" t="s">
        <v>66</v>
      </c>
      <c r="B32" s="2" t="s">
        <v>67</v>
      </c>
      <c r="C32" s="2">
        <v>27</v>
      </c>
      <c r="D32" s="20">
        <v>58.933194</v>
      </c>
      <c r="E32">
        <f t="shared" si="10"/>
        <v>58.933194</v>
      </c>
      <c r="F32">
        <f t="shared" si="11"/>
        <v>58.933194</v>
      </c>
      <c r="G32">
        <f t="shared" si="12"/>
        <v>58.933194</v>
      </c>
      <c r="I32" s="3">
        <v>27</v>
      </c>
      <c r="J32" s="3" t="s">
        <v>67</v>
      </c>
      <c r="K32" s="21">
        <v>58.933</v>
      </c>
      <c r="L32" s="3">
        <f t="shared" si="7"/>
        <v>58.933</v>
      </c>
      <c r="M32" s="3">
        <f t="shared" si="8"/>
        <v>58.933</v>
      </c>
      <c r="N32" s="3">
        <f t="shared" si="9"/>
        <v>58.933</v>
      </c>
      <c r="O32" s="3"/>
      <c r="P32" s="3">
        <f t="shared" si="5"/>
        <v>1.9400000000047157E-4</v>
      </c>
      <c r="Q32" s="22">
        <f t="shared" si="6"/>
        <v>3.291873822823742E-6</v>
      </c>
      <c r="R32" s="3"/>
      <c r="S32" s="3">
        <v>27</v>
      </c>
      <c r="T32" s="3" t="s">
        <v>67</v>
      </c>
      <c r="U32" s="3" t="s">
        <v>295</v>
      </c>
      <c r="V32" s="27">
        <v>8.9</v>
      </c>
      <c r="W32" s="3"/>
      <c r="X32" s="3"/>
      <c r="Y32" s="3"/>
      <c r="Z32" s="3"/>
    </row>
    <row r="33" spans="1:26" ht="16.5" x14ac:dyDescent="0.25">
      <c r="A33" s="17" t="s">
        <v>68</v>
      </c>
      <c r="B33" s="2" t="s">
        <v>69</v>
      </c>
      <c r="C33" s="2">
        <v>28</v>
      </c>
      <c r="D33" s="20">
        <v>58.693399999999997</v>
      </c>
      <c r="E33">
        <f t="shared" si="10"/>
        <v>58.693399999999997</v>
      </c>
      <c r="F33">
        <f t="shared" si="11"/>
        <v>58.693399999999997</v>
      </c>
      <c r="G33">
        <f t="shared" si="12"/>
        <v>58.693399999999997</v>
      </c>
      <c r="I33" s="3">
        <v>28</v>
      </c>
      <c r="J33" s="3" t="s">
        <v>69</v>
      </c>
      <c r="K33" s="21">
        <v>58.693399999999997</v>
      </c>
      <c r="L33" s="3">
        <f t="shared" si="7"/>
        <v>58.693399999999997</v>
      </c>
      <c r="M33" s="3">
        <f t="shared" si="8"/>
        <v>58.693399999999997</v>
      </c>
      <c r="N33" s="3">
        <f t="shared" si="9"/>
        <v>58.693399999999997</v>
      </c>
      <c r="O33" s="3"/>
      <c r="P33" s="3">
        <f t="shared" si="5"/>
        <v>0</v>
      </c>
      <c r="Q33" s="22">
        <f t="shared" si="6"/>
        <v>0</v>
      </c>
      <c r="R33" s="3"/>
      <c r="S33" s="3">
        <v>28</v>
      </c>
      <c r="T33" s="3" t="s">
        <v>69</v>
      </c>
      <c r="U33" s="3" t="s">
        <v>296</v>
      </c>
      <c r="V33" s="27">
        <v>8.9019999999999992</v>
      </c>
      <c r="W33" s="3"/>
      <c r="X33" s="3"/>
      <c r="Y33" s="3"/>
      <c r="Z33" s="3"/>
    </row>
    <row r="34" spans="1:26" ht="16.5" x14ac:dyDescent="0.25">
      <c r="A34" s="17" t="s">
        <v>70</v>
      </c>
      <c r="B34" s="2" t="s">
        <v>71</v>
      </c>
      <c r="C34" s="2">
        <v>29</v>
      </c>
      <c r="D34" s="20">
        <v>63.545999999999999</v>
      </c>
      <c r="E34">
        <f t="shared" si="10"/>
        <v>63.545999999999999</v>
      </c>
      <c r="F34">
        <f t="shared" si="11"/>
        <v>63.545999999999999</v>
      </c>
      <c r="G34">
        <f t="shared" si="12"/>
        <v>63.545999999999999</v>
      </c>
      <c r="I34" s="3">
        <v>29</v>
      </c>
      <c r="J34" s="3" t="s">
        <v>71</v>
      </c>
      <c r="K34" s="21">
        <v>63.545999999999999</v>
      </c>
      <c r="L34" s="3">
        <f t="shared" si="7"/>
        <v>63.545999999999999</v>
      </c>
      <c r="M34" s="3">
        <f t="shared" si="8"/>
        <v>63.545999999999999</v>
      </c>
      <c r="N34" s="3">
        <f t="shared" si="9"/>
        <v>63.545999999999999</v>
      </c>
      <c r="O34" s="3"/>
      <c r="P34" s="3">
        <f t="shared" si="5"/>
        <v>0</v>
      </c>
      <c r="Q34" s="22">
        <f t="shared" si="6"/>
        <v>0</v>
      </c>
      <c r="R34" s="3"/>
      <c r="S34" s="3">
        <v>29</v>
      </c>
      <c r="T34" s="3" t="s">
        <v>71</v>
      </c>
      <c r="U34" s="3" t="s">
        <v>297</v>
      </c>
      <c r="V34" s="27">
        <v>8.9600000000000009</v>
      </c>
      <c r="W34" s="3"/>
      <c r="X34" s="3"/>
      <c r="Y34" s="3"/>
      <c r="Z34" s="3"/>
    </row>
    <row r="35" spans="1:26" ht="16.5" x14ac:dyDescent="0.25">
      <c r="A35" s="17" t="s">
        <v>72</v>
      </c>
      <c r="B35" s="2" t="s">
        <v>73</v>
      </c>
      <c r="C35" s="2">
        <v>30</v>
      </c>
      <c r="D35" s="20">
        <v>65.38</v>
      </c>
      <c r="E35">
        <f t="shared" si="10"/>
        <v>65.38</v>
      </c>
      <c r="F35">
        <f t="shared" si="11"/>
        <v>65.38</v>
      </c>
      <c r="G35">
        <f t="shared" si="12"/>
        <v>65.38</v>
      </c>
      <c r="I35" s="3">
        <v>30</v>
      </c>
      <c r="J35" s="3" t="s">
        <v>73</v>
      </c>
      <c r="K35" s="21">
        <v>65.38</v>
      </c>
      <c r="L35" s="3">
        <f t="shared" si="7"/>
        <v>65.38</v>
      </c>
      <c r="M35" s="3">
        <f t="shared" si="8"/>
        <v>65.38</v>
      </c>
      <c r="N35" s="3">
        <f t="shared" si="9"/>
        <v>65.38</v>
      </c>
      <c r="O35" s="3"/>
      <c r="P35" s="3">
        <f t="shared" si="5"/>
        <v>0</v>
      </c>
      <c r="Q35" s="22">
        <f t="shared" si="6"/>
        <v>0</v>
      </c>
      <c r="R35" s="3"/>
      <c r="S35" s="3">
        <v>30</v>
      </c>
      <c r="T35" s="3" t="s">
        <v>73</v>
      </c>
      <c r="U35" s="3" t="s">
        <v>298</v>
      </c>
      <c r="V35" s="27">
        <v>7.133</v>
      </c>
      <c r="W35" s="3"/>
      <c r="X35" s="3"/>
      <c r="Y35" s="3"/>
      <c r="Z35" s="3"/>
    </row>
    <row r="36" spans="1:26" ht="16.5" x14ac:dyDescent="0.25">
      <c r="A36" s="17" t="s">
        <v>74</v>
      </c>
      <c r="B36" s="2" t="s">
        <v>75</v>
      </c>
      <c r="C36" s="2">
        <v>31</v>
      </c>
      <c r="D36" s="20">
        <v>69.722999999999999</v>
      </c>
      <c r="E36">
        <f t="shared" si="10"/>
        <v>69.722999999999999</v>
      </c>
      <c r="F36">
        <f t="shared" si="11"/>
        <v>69.722999999999999</v>
      </c>
      <c r="G36">
        <f t="shared" si="12"/>
        <v>69.722999999999999</v>
      </c>
      <c r="I36" s="3">
        <v>31</v>
      </c>
      <c r="J36" s="3" t="s">
        <v>75</v>
      </c>
      <c r="K36" s="21">
        <v>69.722999999999999</v>
      </c>
      <c r="L36" s="3">
        <f t="shared" si="7"/>
        <v>69.722999999999999</v>
      </c>
      <c r="M36" s="3">
        <f t="shared" si="8"/>
        <v>69.722999999999999</v>
      </c>
      <c r="N36" s="3">
        <f t="shared" si="9"/>
        <v>69.722999999999999</v>
      </c>
      <c r="O36" s="3"/>
      <c r="P36" s="3">
        <f t="shared" si="5"/>
        <v>0</v>
      </c>
      <c r="Q36" s="22">
        <f t="shared" si="6"/>
        <v>0</v>
      </c>
      <c r="R36" s="3"/>
      <c r="S36" s="3">
        <v>31</v>
      </c>
      <c r="T36" s="3" t="s">
        <v>75</v>
      </c>
      <c r="U36" s="3" t="s">
        <v>299</v>
      </c>
      <c r="V36" s="27">
        <v>5.9039999999999999</v>
      </c>
      <c r="W36" s="3"/>
      <c r="X36" s="3"/>
      <c r="Y36" s="3"/>
      <c r="Z36" s="3"/>
    </row>
    <row r="37" spans="1:26" ht="16.5" x14ac:dyDescent="0.25">
      <c r="A37" s="17" t="s">
        <v>76</v>
      </c>
      <c r="B37" s="2" t="s">
        <v>77</v>
      </c>
      <c r="C37" s="2">
        <v>32</v>
      </c>
      <c r="D37" s="20">
        <v>72.63</v>
      </c>
      <c r="E37">
        <f t="shared" si="10"/>
        <v>72.63</v>
      </c>
      <c r="F37">
        <f t="shared" si="11"/>
        <v>72.63</v>
      </c>
      <c r="G37">
        <f t="shared" si="12"/>
        <v>72.63</v>
      </c>
      <c r="I37" s="3">
        <v>32</v>
      </c>
      <c r="J37" s="3" t="s">
        <v>77</v>
      </c>
      <c r="K37" s="21">
        <v>72.63</v>
      </c>
      <c r="L37" s="3">
        <f t="shared" si="7"/>
        <v>72.63</v>
      </c>
      <c r="M37" s="3">
        <f t="shared" si="8"/>
        <v>72.63</v>
      </c>
      <c r="N37" s="3">
        <f t="shared" si="9"/>
        <v>72.63</v>
      </c>
      <c r="O37" s="3"/>
      <c r="P37" s="3">
        <f t="shared" si="5"/>
        <v>0</v>
      </c>
      <c r="Q37" s="22">
        <f t="shared" si="6"/>
        <v>0</v>
      </c>
      <c r="R37" s="3"/>
      <c r="S37" s="3">
        <v>32</v>
      </c>
      <c r="T37" s="3" t="s">
        <v>77</v>
      </c>
      <c r="U37" s="3" t="s">
        <v>300</v>
      </c>
      <c r="V37" s="27">
        <v>5.3230000000000004</v>
      </c>
      <c r="W37" s="3"/>
      <c r="X37" s="3"/>
      <c r="Y37" s="3"/>
      <c r="Z37" s="3"/>
    </row>
    <row r="38" spans="1:26" ht="16.5" x14ac:dyDescent="0.25">
      <c r="A38" s="17" t="s">
        <v>78</v>
      </c>
      <c r="B38" s="2" t="s">
        <v>79</v>
      </c>
      <c r="C38" s="2">
        <v>33</v>
      </c>
      <c r="D38" s="20">
        <v>74.921594999999996</v>
      </c>
      <c r="E38">
        <f t="shared" si="10"/>
        <v>74.921594999999996</v>
      </c>
      <c r="F38">
        <f t="shared" si="11"/>
        <v>74.921594999999996</v>
      </c>
      <c r="G38">
        <f t="shared" si="12"/>
        <v>74.921594999999996</v>
      </c>
      <c r="I38" s="3">
        <v>33</v>
      </c>
      <c r="J38" s="3" t="s">
        <v>79</v>
      </c>
      <c r="K38" s="21">
        <v>74.921000000000006</v>
      </c>
      <c r="L38" s="3">
        <f t="shared" si="7"/>
        <v>74.921000000000006</v>
      </c>
      <c r="M38" s="3">
        <f t="shared" si="8"/>
        <v>74.921000000000006</v>
      </c>
      <c r="N38" s="3">
        <f t="shared" si="9"/>
        <v>74.921000000000006</v>
      </c>
      <c r="O38" s="3"/>
      <c r="P38" s="3">
        <f t="shared" si="5"/>
        <v>5.9499999998990916E-4</v>
      </c>
      <c r="Q38" s="22">
        <f t="shared" si="6"/>
        <v>7.9416985890459172E-6</v>
      </c>
      <c r="R38" s="3"/>
      <c r="S38" s="3">
        <v>33</v>
      </c>
      <c r="T38" s="3" t="s">
        <v>79</v>
      </c>
      <c r="U38" s="3" t="s">
        <v>301</v>
      </c>
      <c r="V38" s="27">
        <v>5.73</v>
      </c>
      <c r="W38" s="3"/>
      <c r="X38" s="3"/>
      <c r="Y38" s="3"/>
      <c r="Z38" s="3"/>
    </row>
    <row r="39" spans="1:26" ht="16.5" x14ac:dyDescent="0.25">
      <c r="A39" s="17" t="s">
        <v>80</v>
      </c>
      <c r="B39" s="2" t="s">
        <v>81</v>
      </c>
      <c r="C39" s="2">
        <v>34</v>
      </c>
      <c r="D39" s="20">
        <v>78.971000000000004</v>
      </c>
      <c r="E39">
        <f t="shared" si="10"/>
        <v>78.971000000000004</v>
      </c>
      <c r="F39">
        <f t="shared" si="11"/>
        <v>78.971000000000004</v>
      </c>
      <c r="G39">
        <f t="shared" si="12"/>
        <v>78.971000000000004</v>
      </c>
      <c r="I39" s="3">
        <v>34</v>
      </c>
      <c r="J39" s="3" t="s">
        <v>81</v>
      </c>
      <c r="K39" s="21">
        <v>78.971000000000004</v>
      </c>
      <c r="L39" s="3">
        <f t="shared" si="7"/>
        <v>78.971000000000004</v>
      </c>
      <c r="M39" s="3">
        <f t="shared" si="8"/>
        <v>78.971000000000004</v>
      </c>
      <c r="N39" s="3">
        <f t="shared" si="9"/>
        <v>78.971000000000004</v>
      </c>
      <c r="O39" s="3"/>
      <c r="P39" s="3">
        <f t="shared" si="5"/>
        <v>0</v>
      </c>
      <c r="Q39" s="22">
        <f t="shared" si="6"/>
        <v>0</v>
      </c>
      <c r="R39" s="3"/>
      <c r="S39" s="3">
        <v>34</v>
      </c>
      <c r="T39" s="3" t="s">
        <v>81</v>
      </c>
      <c r="U39" s="3" t="s">
        <v>302</v>
      </c>
      <c r="V39" s="27">
        <v>4.5</v>
      </c>
      <c r="W39" s="3"/>
      <c r="X39" s="3"/>
      <c r="Y39" s="3"/>
      <c r="Z39" s="3"/>
    </row>
    <row r="40" spans="1:26" ht="16.5" x14ac:dyDescent="0.25">
      <c r="A40" s="17" t="s">
        <v>82</v>
      </c>
      <c r="B40" s="2" t="s">
        <v>83</v>
      </c>
      <c r="C40" s="2">
        <v>35</v>
      </c>
      <c r="D40" s="20" t="s">
        <v>84</v>
      </c>
      <c r="E40">
        <f t="shared" si="10"/>
        <v>79.900999999999996</v>
      </c>
      <c r="F40">
        <f t="shared" si="11"/>
        <v>79.906999999999996</v>
      </c>
      <c r="G40">
        <f t="shared" si="12"/>
        <v>79.903999999999996</v>
      </c>
      <c r="I40" s="3">
        <v>35</v>
      </c>
      <c r="J40" s="3" t="s">
        <v>83</v>
      </c>
      <c r="K40" s="21" t="s">
        <v>84</v>
      </c>
      <c r="L40" s="3">
        <f t="shared" si="7"/>
        <v>79.900999999999996</v>
      </c>
      <c r="M40" s="3">
        <f t="shared" si="8"/>
        <v>79.906999999999996</v>
      </c>
      <c r="N40" s="3">
        <f t="shared" si="9"/>
        <v>79.903999999999996</v>
      </c>
      <c r="O40" s="3"/>
      <c r="P40" s="3">
        <f t="shared" si="5"/>
        <v>0</v>
      </c>
      <c r="Q40" s="22">
        <f t="shared" si="6"/>
        <v>0</v>
      </c>
      <c r="R40" s="3"/>
      <c r="S40" s="3">
        <v>35</v>
      </c>
      <c r="T40" s="3" t="s">
        <v>83</v>
      </c>
      <c r="U40" s="3" t="s">
        <v>303</v>
      </c>
      <c r="V40" s="27">
        <v>7.0720000000000002E-3</v>
      </c>
      <c r="W40" s="3"/>
      <c r="X40" s="3"/>
      <c r="Y40" s="3"/>
      <c r="Z40" s="3"/>
    </row>
    <row r="41" spans="1:26" ht="16.5" x14ac:dyDescent="0.25">
      <c r="A41" s="17" t="s">
        <v>85</v>
      </c>
      <c r="B41" s="2" t="s">
        <v>86</v>
      </c>
      <c r="C41" s="2">
        <v>36</v>
      </c>
      <c r="D41" s="20">
        <v>83.798000000000002</v>
      </c>
      <c r="E41">
        <f t="shared" si="10"/>
        <v>83.798000000000002</v>
      </c>
      <c r="F41">
        <f t="shared" si="11"/>
        <v>83.798000000000002</v>
      </c>
      <c r="G41">
        <f t="shared" si="12"/>
        <v>83.798000000000002</v>
      </c>
      <c r="I41" s="3">
        <v>36</v>
      </c>
      <c r="J41" s="3" t="s">
        <v>86</v>
      </c>
      <c r="K41" s="21">
        <v>83.798000000000002</v>
      </c>
      <c r="L41" s="3">
        <f t="shared" si="7"/>
        <v>83.798000000000002</v>
      </c>
      <c r="M41" s="3">
        <f t="shared" si="8"/>
        <v>83.798000000000002</v>
      </c>
      <c r="N41" s="3">
        <f t="shared" si="9"/>
        <v>83.798000000000002</v>
      </c>
      <c r="O41" s="3"/>
      <c r="P41" s="3">
        <f t="shared" si="5"/>
        <v>0</v>
      </c>
      <c r="Q41" s="22">
        <f t="shared" si="6"/>
        <v>0</v>
      </c>
      <c r="R41" s="3"/>
      <c r="S41" s="3">
        <v>36</v>
      </c>
      <c r="T41" s="3" t="s">
        <v>86</v>
      </c>
      <c r="U41" s="3" t="s">
        <v>304</v>
      </c>
      <c r="V41" s="27">
        <v>3.4780000000000002E-3</v>
      </c>
      <c r="W41" s="3"/>
      <c r="X41" s="3"/>
      <c r="Y41" s="3"/>
      <c r="Z41" s="3"/>
    </row>
    <row r="42" spans="1:26" ht="16.5" x14ac:dyDescent="0.25">
      <c r="A42" s="17" t="s">
        <v>87</v>
      </c>
      <c r="B42" s="2" t="s">
        <v>88</v>
      </c>
      <c r="C42" s="2">
        <v>37</v>
      </c>
      <c r="D42" s="20">
        <v>85.467799999999997</v>
      </c>
      <c r="E42">
        <f t="shared" si="10"/>
        <v>85.467799999999997</v>
      </c>
      <c r="F42">
        <f t="shared" si="11"/>
        <v>85.467799999999997</v>
      </c>
      <c r="G42">
        <f t="shared" si="12"/>
        <v>85.467799999999997</v>
      </c>
      <c r="I42" s="3">
        <v>37</v>
      </c>
      <c r="J42" s="3" t="s">
        <v>88</v>
      </c>
      <c r="K42" s="21">
        <v>85.467799999999997</v>
      </c>
      <c r="L42" s="3">
        <f t="shared" si="7"/>
        <v>85.467799999999997</v>
      </c>
      <c r="M42" s="3">
        <f t="shared" si="8"/>
        <v>85.467799999999997</v>
      </c>
      <c r="N42" s="3">
        <f t="shared" si="9"/>
        <v>85.467799999999997</v>
      </c>
      <c r="O42" s="3"/>
      <c r="P42" s="3">
        <f t="shared" si="5"/>
        <v>0</v>
      </c>
      <c r="Q42" s="22">
        <f t="shared" si="6"/>
        <v>0</v>
      </c>
      <c r="R42" s="3"/>
      <c r="S42" s="3">
        <v>37</v>
      </c>
      <c r="T42" s="3" t="s">
        <v>88</v>
      </c>
      <c r="U42" s="3" t="s">
        <v>305</v>
      </c>
      <c r="V42" s="27">
        <v>1.532</v>
      </c>
      <c r="W42" s="3"/>
      <c r="X42" s="3"/>
      <c r="Y42" s="3"/>
      <c r="Z42" s="3"/>
    </row>
    <row r="43" spans="1:26" ht="16.5" x14ac:dyDescent="0.25">
      <c r="A43" s="17" t="s">
        <v>89</v>
      </c>
      <c r="B43" s="2" t="s">
        <v>90</v>
      </c>
      <c r="C43" s="2">
        <v>38</v>
      </c>
      <c r="D43" s="20">
        <v>87.62</v>
      </c>
      <c r="E43">
        <f t="shared" si="10"/>
        <v>87.62</v>
      </c>
      <c r="F43">
        <f t="shared" si="11"/>
        <v>87.62</v>
      </c>
      <c r="G43">
        <f t="shared" si="12"/>
        <v>87.62</v>
      </c>
      <c r="I43" s="3">
        <v>38</v>
      </c>
      <c r="J43" s="3" t="s">
        <v>90</v>
      </c>
      <c r="K43" s="21">
        <v>87.62</v>
      </c>
      <c r="L43" s="3">
        <f t="shared" si="7"/>
        <v>87.62</v>
      </c>
      <c r="M43" s="3">
        <f t="shared" si="8"/>
        <v>87.62</v>
      </c>
      <c r="N43" s="3">
        <f t="shared" si="9"/>
        <v>87.62</v>
      </c>
      <c r="O43" s="3"/>
      <c r="P43" s="3">
        <f t="shared" si="5"/>
        <v>0</v>
      </c>
      <c r="Q43" s="22">
        <f t="shared" si="6"/>
        <v>0</v>
      </c>
      <c r="R43" s="3"/>
      <c r="S43" s="3">
        <v>38</v>
      </c>
      <c r="T43" s="3" t="s">
        <v>90</v>
      </c>
      <c r="U43" s="3" t="s">
        <v>306</v>
      </c>
      <c r="V43" s="27">
        <v>2.54</v>
      </c>
      <c r="W43" s="3"/>
      <c r="X43" s="3"/>
      <c r="Y43" s="3"/>
      <c r="Z43" s="3"/>
    </row>
    <row r="44" spans="1:26" ht="16.5" x14ac:dyDescent="0.25">
      <c r="A44" s="17" t="s">
        <v>91</v>
      </c>
      <c r="B44" s="2" t="s">
        <v>92</v>
      </c>
      <c r="C44" s="2">
        <v>39</v>
      </c>
      <c r="D44" s="20">
        <v>88.905940000000001</v>
      </c>
      <c r="E44">
        <f t="shared" si="10"/>
        <v>88.905940000000001</v>
      </c>
      <c r="F44">
        <f t="shared" si="11"/>
        <v>88.905940000000001</v>
      </c>
      <c r="G44">
        <f t="shared" si="12"/>
        <v>88.905940000000001</v>
      </c>
      <c r="I44" s="3">
        <v>39</v>
      </c>
      <c r="J44" s="3" t="s">
        <v>92</v>
      </c>
      <c r="K44" s="21">
        <v>88.905000000000001</v>
      </c>
      <c r="L44" s="3">
        <f t="shared" si="7"/>
        <v>88.905000000000001</v>
      </c>
      <c r="M44" s="3">
        <f t="shared" si="8"/>
        <v>88.905000000000001</v>
      </c>
      <c r="N44" s="3">
        <f t="shared" si="9"/>
        <v>88.905000000000001</v>
      </c>
      <c r="O44" s="3"/>
      <c r="P44" s="3">
        <f t="shared" si="5"/>
        <v>9.3999999999994088E-4</v>
      </c>
      <c r="Q44" s="22">
        <f t="shared" si="6"/>
        <v>1.0573083628591653E-5</v>
      </c>
      <c r="R44" s="3"/>
      <c r="S44" s="3">
        <v>39</v>
      </c>
      <c r="T44" s="3" t="s">
        <v>92</v>
      </c>
      <c r="U44" s="3" t="s">
        <v>307</v>
      </c>
      <c r="V44" s="27">
        <v>4.4690000000000003</v>
      </c>
      <c r="W44" s="3"/>
      <c r="X44" s="3"/>
      <c r="Y44" s="3"/>
      <c r="Z44" s="3"/>
    </row>
    <row r="45" spans="1:26" ht="16.5" x14ac:dyDescent="0.25">
      <c r="A45" s="17" t="s">
        <v>93</v>
      </c>
      <c r="B45" s="2" t="s">
        <v>94</v>
      </c>
      <c r="C45" s="2">
        <v>40</v>
      </c>
      <c r="D45" s="20">
        <v>91.224000000000004</v>
      </c>
      <c r="E45">
        <f t="shared" si="10"/>
        <v>91.224000000000004</v>
      </c>
      <c r="F45">
        <f t="shared" si="11"/>
        <v>91.224000000000004</v>
      </c>
      <c r="G45">
        <f t="shared" si="12"/>
        <v>91.224000000000004</v>
      </c>
      <c r="I45" s="3">
        <v>40</v>
      </c>
      <c r="J45" s="3" t="s">
        <v>94</v>
      </c>
      <c r="K45" s="21">
        <v>91.224000000000004</v>
      </c>
      <c r="L45" s="3">
        <f t="shared" si="7"/>
        <v>91.224000000000004</v>
      </c>
      <c r="M45" s="3">
        <f t="shared" si="8"/>
        <v>91.224000000000004</v>
      </c>
      <c r="N45" s="3">
        <f t="shared" si="9"/>
        <v>91.224000000000004</v>
      </c>
      <c r="O45" s="3"/>
      <c r="P45" s="3">
        <f t="shared" si="5"/>
        <v>0</v>
      </c>
      <c r="Q45" s="22">
        <f t="shared" si="6"/>
        <v>0</v>
      </c>
      <c r="R45" s="3"/>
      <c r="S45" s="3">
        <v>40</v>
      </c>
      <c r="T45" s="3" t="s">
        <v>94</v>
      </c>
      <c r="U45" s="3" t="s">
        <v>308</v>
      </c>
      <c r="V45" s="27">
        <v>6.5060000000000002</v>
      </c>
      <c r="W45" s="3"/>
      <c r="X45" s="3"/>
      <c r="Y45" s="3"/>
      <c r="Z45" s="3"/>
    </row>
    <row r="46" spans="1:26" ht="16.5" x14ac:dyDescent="0.25">
      <c r="A46" s="17" t="s">
        <v>95</v>
      </c>
      <c r="B46" s="2" t="s">
        <v>96</v>
      </c>
      <c r="C46" s="2">
        <v>41</v>
      </c>
      <c r="D46" s="20">
        <v>92.906369999999995</v>
      </c>
      <c r="E46">
        <f t="shared" si="10"/>
        <v>92.906369999999995</v>
      </c>
      <c r="F46">
        <f t="shared" si="11"/>
        <v>92.906369999999995</v>
      </c>
      <c r="G46">
        <f t="shared" si="12"/>
        <v>92.906369999999995</v>
      </c>
      <c r="I46" s="3">
        <v>41</v>
      </c>
      <c r="J46" s="3" t="s">
        <v>96</v>
      </c>
      <c r="K46" s="21">
        <v>92.906000000000006</v>
      </c>
      <c r="L46" s="3">
        <f t="shared" si="7"/>
        <v>92.906000000000006</v>
      </c>
      <c r="M46" s="3">
        <f t="shared" si="8"/>
        <v>92.906000000000006</v>
      </c>
      <c r="N46" s="3">
        <f t="shared" si="9"/>
        <v>92.906000000000006</v>
      </c>
      <c r="O46" s="3"/>
      <c r="P46" s="3">
        <f t="shared" si="5"/>
        <v>3.6999999998954536E-4</v>
      </c>
      <c r="Q46" s="22">
        <f t="shared" si="6"/>
        <v>3.9825199663051396E-6</v>
      </c>
      <c r="R46" s="3"/>
      <c r="S46" s="3">
        <v>41</v>
      </c>
      <c r="T46" s="3" t="s">
        <v>96</v>
      </c>
      <c r="U46" s="3" t="s">
        <v>309</v>
      </c>
      <c r="V46" s="27">
        <v>8.57</v>
      </c>
      <c r="W46" s="3"/>
      <c r="X46" s="3"/>
      <c r="Y46" s="3"/>
      <c r="Z46" s="3"/>
    </row>
    <row r="47" spans="1:26" ht="16.5" x14ac:dyDescent="0.25">
      <c r="A47" s="17" t="s">
        <v>97</v>
      </c>
      <c r="B47" s="2" t="s">
        <v>98</v>
      </c>
      <c r="C47" s="2">
        <v>42</v>
      </c>
      <c r="D47" s="20">
        <v>95.95</v>
      </c>
      <c r="E47">
        <f t="shared" si="10"/>
        <v>95.95</v>
      </c>
      <c r="F47">
        <f t="shared" si="11"/>
        <v>95.95</v>
      </c>
      <c r="G47">
        <f t="shared" si="12"/>
        <v>95.95</v>
      </c>
      <c r="I47" s="3">
        <v>42</v>
      </c>
      <c r="J47" s="3" t="s">
        <v>98</v>
      </c>
      <c r="K47" s="21">
        <v>95.95</v>
      </c>
      <c r="L47" s="3">
        <f t="shared" si="7"/>
        <v>95.95</v>
      </c>
      <c r="M47" s="3">
        <f t="shared" si="8"/>
        <v>95.95</v>
      </c>
      <c r="N47" s="3">
        <f t="shared" si="9"/>
        <v>95.95</v>
      </c>
      <c r="O47" s="3"/>
      <c r="P47" s="3">
        <f t="shared" si="5"/>
        <v>0</v>
      </c>
      <c r="Q47" s="22">
        <f t="shared" si="6"/>
        <v>0</v>
      </c>
      <c r="R47" s="3"/>
      <c r="S47" s="3">
        <v>42</v>
      </c>
      <c r="T47" s="3" t="s">
        <v>98</v>
      </c>
      <c r="U47" s="3" t="s">
        <v>310</v>
      </c>
      <c r="V47" s="27">
        <v>10.220000000000001</v>
      </c>
      <c r="W47" s="3"/>
      <c r="X47" s="3"/>
      <c r="Y47" s="3"/>
      <c r="Z47" s="3"/>
    </row>
    <row r="48" spans="1:26" ht="16.5" x14ac:dyDescent="0.25">
      <c r="A48" s="17" t="s">
        <v>99</v>
      </c>
      <c r="B48" s="2" t="s">
        <v>100</v>
      </c>
      <c r="C48" s="2">
        <v>43</v>
      </c>
      <c r="D48" s="20">
        <v>-97</v>
      </c>
      <c r="E48">
        <f t="shared" si="10"/>
        <v>-97</v>
      </c>
      <c r="F48">
        <f t="shared" si="11"/>
        <v>-97</v>
      </c>
      <c r="G48">
        <f t="shared" si="12"/>
        <v>-97</v>
      </c>
      <c r="I48" s="3">
        <v>43</v>
      </c>
      <c r="J48" s="3" t="s">
        <v>100</v>
      </c>
      <c r="K48" s="21" t="s">
        <v>364</v>
      </c>
      <c r="L48" s="3" t="e">
        <f t="shared" si="7"/>
        <v>#VALUE!</v>
      </c>
      <c r="M48" s="3" t="e">
        <f t="shared" si="8"/>
        <v>#VALUE!</v>
      </c>
      <c r="N48" s="3" t="e">
        <f t="shared" si="9"/>
        <v>#VALUE!</v>
      </c>
      <c r="O48" s="3"/>
      <c r="P48" s="3" t="e">
        <f t="shared" si="5"/>
        <v>#VALUE!</v>
      </c>
      <c r="Q48" s="22" t="e">
        <f t="shared" si="6"/>
        <v>#VALUE!</v>
      </c>
      <c r="R48" s="3"/>
      <c r="S48" s="3">
        <v>43</v>
      </c>
      <c r="T48" s="3" t="s">
        <v>100</v>
      </c>
      <c r="U48" s="3" t="s">
        <v>311</v>
      </c>
      <c r="V48" s="27">
        <v>11.5</v>
      </c>
      <c r="W48" s="3"/>
      <c r="X48" s="3"/>
      <c r="Y48" s="3"/>
      <c r="Z48" s="3"/>
    </row>
    <row r="49" spans="1:26" ht="16.5" x14ac:dyDescent="0.25">
      <c r="A49" s="17" t="s">
        <v>101</v>
      </c>
      <c r="B49" s="2" t="s">
        <v>102</v>
      </c>
      <c r="C49" s="2">
        <v>44</v>
      </c>
      <c r="D49" s="20">
        <v>101.07</v>
      </c>
      <c r="E49">
        <f t="shared" si="10"/>
        <v>101.07</v>
      </c>
      <c r="F49">
        <f t="shared" si="11"/>
        <v>101.07</v>
      </c>
      <c r="G49">
        <f t="shared" si="12"/>
        <v>101.07</v>
      </c>
      <c r="I49" s="3">
        <v>44</v>
      </c>
      <c r="J49" s="3" t="s">
        <v>102</v>
      </c>
      <c r="K49" s="21">
        <v>101.07</v>
      </c>
      <c r="L49" s="3">
        <f t="shared" si="7"/>
        <v>101.07</v>
      </c>
      <c r="M49" s="3">
        <f t="shared" si="8"/>
        <v>101.07</v>
      </c>
      <c r="N49" s="3">
        <f t="shared" si="9"/>
        <v>101.07</v>
      </c>
      <c r="O49" s="3"/>
      <c r="P49" s="3">
        <f t="shared" si="5"/>
        <v>0</v>
      </c>
      <c r="Q49" s="22">
        <f t="shared" si="6"/>
        <v>0</v>
      </c>
      <c r="R49" s="3"/>
      <c r="S49" s="3">
        <v>44</v>
      </c>
      <c r="T49" s="3" t="s">
        <v>102</v>
      </c>
      <c r="U49" s="3" t="s">
        <v>312</v>
      </c>
      <c r="V49" s="27">
        <v>12.41</v>
      </c>
      <c r="W49" s="3"/>
      <c r="X49" s="3"/>
      <c r="Y49" s="3"/>
      <c r="Z49" s="3"/>
    </row>
    <row r="50" spans="1:26" ht="16.5" x14ac:dyDescent="0.25">
      <c r="A50" s="17" t="s">
        <v>103</v>
      </c>
      <c r="B50" s="2" t="s">
        <v>104</v>
      </c>
      <c r="C50" s="2">
        <v>45</v>
      </c>
      <c r="D50" s="20">
        <v>102.9055</v>
      </c>
      <c r="E50">
        <f t="shared" si="10"/>
        <v>102.9055</v>
      </c>
      <c r="F50">
        <f t="shared" si="11"/>
        <v>102.9055</v>
      </c>
      <c r="G50">
        <f t="shared" si="12"/>
        <v>102.9055</v>
      </c>
      <c r="I50" s="3">
        <v>45</v>
      </c>
      <c r="J50" s="3" t="s">
        <v>104</v>
      </c>
      <c r="K50" s="21">
        <v>102.905</v>
      </c>
      <c r="L50" s="3">
        <f t="shared" si="7"/>
        <v>102.905</v>
      </c>
      <c r="M50" s="3">
        <f t="shared" si="8"/>
        <v>102.905</v>
      </c>
      <c r="N50" s="3">
        <f t="shared" si="9"/>
        <v>102.905</v>
      </c>
      <c r="O50" s="3"/>
      <c r="P50" s="3">
        <f t="shared" si="5"/>
        <v>5.0000000000238742E-4</v>
      </c>
      <c r="Q50" s="22">
        <f t="shared" si="6"/>
        <v>4.8588503960195074E-6</v>
      </c>
      <c r="R50" s="3"/>
      <c r="S50" s="3">
        <v>45</v>
      </c>
      <c r="T50" s="3" t="s">
        <v>104</v>
      </c>
      <c r="U50" s="3" t="s">
        <v>313</v>
      </c>
      <c r="V50" s="27">
        <v>12.41</v>
      </c>
      <c r="W50" s="3"/>
      <c r="X50" s="3"/>
      <c r="Y50" s="3"/>
      <c r="Z50" s="3"/>
    </row>
    <row r="51" spans="1:26" ht="16.5" x14ac:dyDescent="0.25">
      <c r="A51" s="17" t="s">
        <v>105</v>
      </c>
      <c r="B51" s="2" t="s">
        <v>106</v>
      </c>
      <c r="C51" s="2">
        <v>46</v>
      </c>
      <c r="D51" s="20">
        <v>106.42</v>
      </c>
      <c r="E51">
        <f t="shared" si="10"/>
        <v>106.42</v>
      </c>
      <c r="F51">
        <f t="shared" si="11"/>
        <v>106.42</v>
      </c>
      <c r="G51">
        <f t="shared" si="12"/>
        <v>106.42</v>
      </c>
      <c r="I51" s="3">
        <v>46</v>
      </c>
      <c r="J51" s="3" t="s">
        <v>106</v>
      </c>
      <c r="K51" s="21">
        <v>106.42</v>
      </c>
      <c r="L51" s="3">
        <f t="shared" si="7"/>
        <v>106.42</v>
      </c>
      <c r="M51" s="3">
        <f t="shared" si="8"/>
        <v>106.42</v>
      </c>
      <c r="N51" s="3">
        <f t="shared" si="9"/>
        <v>106.42</v>
      </c>
      <c r="O51" s="3"/>
      <c r="P51" s="3">
        <f t="shared" si="5"/>
        <v>0</v>
      </c>
      <c r="Q51" s="22">
        <f t="shared" si="6"/>
        <v>0</v>
      </c>
      <c r="R51" s="3"/>
      <c r="S51" s="3">
        <v>46</v>
      </c>
      <c r="T51" s="3" t="s">
        <v>106</v>
      </c>
      <c r="U51" s="3" t="s">
        <v>314</v>
      </c>
      <c r="V51" s="27">
        <v>12.02</v>
      </c>
      <c r="W51" s="3"/>
      <c r="X51" s="3"/>
      <c r="Y51" s="3"/>
      <c r="Z51" s="3"/>
    </row>
    <row r="52" spans="1:26" ht="16.5" x14ac:dyDescent="0.25">
      <c r="A52" s="17" t="s">
        <v>107</v>
      </c>
      <c r="B52" s="2" t="s">
        <v>108</v>
      </c>
      <c r="C52" s="2">
        <v>47</v>
      </c>
      <c r="D52" s="20">
        <v>107.8682</v>
      </c>
      <c r="E52">
        <f t="shared" si="10"/>
        <v>107.8682</v>
      </c>
      <c r="F52">
        <f t="shared" si="11"/>
        <v>107.8682</v>
      </c>
      <c r="G52">
        <f t="shared" si="12"/>
        <v>107.8682</v>
      </c>
      <c r="I52" s="3">
        <v>47</v>
      </c>
      <c r="J52" s="3" t="s">
        <v>108</v>
      </c>
      <c r="K52" s="21">
        <v>107.8682</v>
      </c>
      <c r="L52" s="3">
        <f t="shared" si="7"/>
        <v>107.8682</v>
      </c>
      <c r="M52" s="3">
        <f t="shared" si="8"/>
        <v>107.8682</v>
      </c>
      <c r="N52" s="3">
        <f t="shared" si="9"/>
        <v>107.8682</v>
      </c>
      <c r="O52" s="3"/>
      <c r="P52" s="3">
        <f t="shared" si="5"/>
        <v>0</v>
      </c>
      <c r="Q52" s="22">
        <f t="shared" si="6"/>
        <v>0</v>
      </c>
      <c r="R52" s="3"/>
      <c r="S52" s="3">
        <v>47</v>
      </c>
      <c r="T52" s="3" t="s">
        <v>108</v>
      </c>
      <c r="U52" s="3" t="s">
        <v>315</v>
      </c>
      <c r="V52" s="27">
        <v>10.5</v>
      </c>
      <c r="W52" s="3"/>
      <c r="X52" s="3"/>
      <c r="Y52" s="3"/>
      <c r="Z52" s="3"/>
    </row>
    <row r="53" spans="1:26" ht="16.5" x14ac:dyDescent="0.25">
      <c r="A53" s="17" t="s">
        <v>109</v>
      </c>
      <c r="B53" s="2" t="s">
        <v>110</v>
      </c>
      <c r="C53" s="2">
        <v>48</v>
      </c>
      <c r="D53" s="20">
        <v>112.414</v>
      </c>
      <c r="E53">
        <f t="shared" si="10"/>
        <v>112.414</v>
      </c>
      <c r="F53">
        <f t="shared" si="11"/>
        <v>112.414</v>
      </c>
      <c r="G53">
        <f t="shared" si="12"/>
        <v>112.414</v>
      </c>
      <c r="I53" s="3">
        <v>48</v>
      </c>
      <c r="J53" s="3" t="s">
        <v>110</v>
      </c>
      <c r="K53" s="21">
        <v>112.414</v>
      </c>
      <c r="L53" s="3">
        <f t="shared" si="7"/>
        <v>112.414</v>
      </c>
      <c r="M53" s="3">
        <f t="shared" si="8"/>
        <v>112.414</v>
      </c>
      <c r="N53" s="3">
        <f t="shared" si="9"/>
        <v>112.414</v>
      </c>
      <c r="O53" s="3"/>
      <c r="P53" s="3">
        <f t="shared" si="5"/>
        <v>0</v>
      </c>
      <c r="Q53" s="22">
        <f t="shared" si="6"/>
        <v>0</v>
      </c>
      <c r="R53" s="3"/>
      <c r="S53" s="3">
        <v>48</v>
      </c>
      <c r="T53" s="3" t="s">
        <v>110</v>
      </c>
      <c r="U53" s="3" t="s">
        <v>316</v>
      </c>
      <c r="V53" s="27">
        <v>8.65</v>
      </c>
      <c r="W53" s="3"/>
      <c r="X53" s="3"/>
      <c r="Y53" s="3"/>
      <c r="Z53" s="3"/>
    </row>
    <row r="54" spans="1:26" ht="16.5" x14ac:dyDescent="0.25">
      <c r="A54" s="17" t="s">
        <v>111</v>
      </c>
      <c r="B54" s="2" t="s">
        <v>112</v>
      </c>
      <c r="C54" s="2">
        <v>49</v>
      </c>
      <c r="D54" s="20">
        <v>114.818</v>
      </c>
      <c r="E54">
        <f t="shared" si="10"/>
        <v>114.818</v>
      </c>
      <c r="F54">
        <f t="shared" si="11"/>
        <v>114.818</v>
      </c>
      <c r="G54">
        <f t="shared" si="12"/>
        <v>114.818</v>
      </c>
      <c r="I54" s="3">
        <v>49</v>
      </c>
      <c r="J54" s="3" t="s">
        <v>112</v>
      </c>
      <c r="K54" s="21">
        <v>114.818</v>
      </c>
      <c r="L54" s="3">
        <f t="shared" si="7"/>
        <v>114.818</v>
      </c>
      <c r="M54" s="3">
        <f t="shared" si="8"/>
        <v>114.818</v>
      </c>
      <c r="N54" s="3">
        <f t="shared" si="9"/>
        <v>114.818</v>
      </c>
      <c r="O54" s="3"/>
      <c r="P54" s="3">
        <f t="shared" si="5"/>
        <v>0</v>
      </c>
      <c r="Q54" s="22">
        <f t="shared" si="6"/>
        <v>0</v>
      </c>
      <c r="R54" s="3"/>
      <c r="S54" s="3">
        <v>49</v>
      </c>
      <c r="T54" s="3" t="s">
        <v>112</v>
      </c>
      <c r="U54" s="3" t="s">
        <v>317</v>
      </c>
      <c r="V54" s="27">
        <v>7.31</v>
      </c>
      <c r="W54" s="3"/>
      <c r="X54" s="3"/>
      <c r="Y54" s="3"/>
      <c r="Z54" s="3"/>
    </row>
    <row r="55" spans="1:26" ht="16.5" x14ac:dyDescent="0.25">
      <c r="A55" s="17" t="s">
        <v>113</v>
      </c>
      <c r="B55" s="2" t="s">
        <v>114</v>
      </c>
      <c r="C55" s="2">
        <v>50</v>
      </c>
      <c r="D55" s="20">
        <v>118.71</v>
      </c>
      <c r="E55">
        <f t="shared" si="10"/>
        <v>118.71</v>
      </c>
      <c r="F55">
        <f t="shared" si="11"/>
        <v>118.71</v>
      </c>
      <c r="G55">
        <f t="shared" si="12"/>
        <v>118.71</v>
      </c>
      <c r="I55" s="3">
        <v>50</v>
      </c>
      <c r="J55" s="3" t="s">
        <v>114</v>
      </c>
      <c r="K55" s="21">
        <v>118.71</v>
      </c>
      <c r="L55" s="3">
        <f t="shared" si="7"/>
        <v>118.71</v>
      </c>
      <c r="M55" s="3">
        <f t="shared" si="8"/>
        <v>118.71</v>
      </c>
      <c r="N55" s="3">
        <f t="shared" si="9"/>
        <v>118.71</v>
      </c>
      <c r="O55" s="3"/>
      <c r="P55" s="3">
        <f t="shared" si="5"/>
        <v>0</v>
      </c>
      <c r="Q55" s="22">
        <f t="shared" si="6"/>
        <v>0</v>
      </c>
      <c r="R55" s="3"/>
      <c r="S55" s="3">
        <v>50</v>
      </c>
      <c r="T55" s="3" t="s">
        <v>114</v>
      </c>
      <c r="U55" s="3" t="s">
        <v>318</v>
      </c>
      <c r="V55" s="27">
        <v>7.31</v>
      </c>
      <c r="W55" s="3"/>
      <c r="X55" s="3"/>
      <c r="Y55" s="3"/>
      <c r="Z55" s="3"/>
    </row>
    <row r="56" spans="1:26" ht="16.5" x14ac:dyDescent="0.25">
      <c r="A56" s="17" t="s">
        <v>115</v>
      </c>
      <c r="B56" s="2" t="s">
        <v>116</v>
      </c>
      <c r="C56" s="2">
        <v>51</v>
      </c>
      <c r="D56" s="20">
        <v>121.76</v>
      </c>
      <c r="E56">
        <f t="shared" si="10"/>
        <v>121.76</v>
      </c>
      <c r="F56">
        <f t="shared" si="11"/>
        <v>121.76</v>
      </c>
      <c r="G56">
        <f t="shared" si="12"/>
        <v>121.76</v>
      </c>
      <c r="I56" s="3">
        <v>51</v>
      </c>
      <c r="J56" s="3" t="s">
        <v>116</v>
      </c>
      <c r="K56" s="21">
        <v>121.76</v>
      </c>
      <c r="L56" s="3">
        <f t="shared" si="7"/>
        <v>121.76</v>
      </c>
      <c r="M56" s="3">
        <f t="shared" si="8"/>
        <v>121.76</v>
      </c>
      <c r="N56" s="3">
        <f t="shared" si="9"/>
        <v>121.76</v>
      </c>
      <c r="O56" s="3"/>
      <c r="P56" s="3">
        <f t="shared" si="5"/>
        <v>0</v>
      </c>
      <c r="Q56" s="22">
        <f t="shared" si="6"/>
        <v>0</v>
      </c>
      <c r="R56" s="3"/>
      <c r="S56" s="3">
        <v>51</v>
      </c>
      <c r="T56" s="3" t="s">
        <v>116</v>
      </c>
      <c r="U56" s="3" t="s">
        <v>319</v>
      </c>
      <c r="V56" s="27">
        <v>6.6909999999999998</v>
      </c>
      <c r="W56" s="3"/>
      <c r="X56" s="3"/>
      <c r="Y56" s="3"/>
      <c r="Z56" s="3"/>
    </row>
    <row r="57" spans="1:26" ht="16.5" x14ac:dyDescent="0.25">
      <c r="A57" s="17" t="s">
        <v>117</v>
      </c>
      <c r="B57" s="2" t="s">
        <v>118</v>
      </c>
      <c r="C57" s="2">
        <v>52</v>
      </c>
      <c r="D57" s="20">
        <v>127.6</v>
      </c>
      <c r="E57">
        <f t="shared" si="10"/>
        <v>127.6</v>
      </c>
      <c r="F57">
        <f t="shared" si="11"/>
        <v>127.6</v>
      </c>
      <c r="G57">
        <f t="shared" si="12"/>
        <v>127.6</v>
      </c>
      <c r="I57" s="3">
        <v>52</v>
      </c>
      <c r="J57" s="3" t="s">
        <v>118</v>
      </c>
      <c r="K57" s="21">
        <v>127.6</v>
      </c>
      <c r="L57" s="3">
        <f t="shared" si="7"/>
        <v>127.6</v>
      </c>
      <c r="M57" s="3">
        <f t="shared" si="8"/>
        <v>127.6</v>
      </c>
      <c r="N57" s="3">
        <f t="shared" si="9"/>
        <v>127.6</v>
      </c>
      <c r="O57" s="3"/>
      <c r="P57" s="3">
        <f t="shared" si="5"/>
        <v>0</v>
      </c>
      <c r="Q57" s="22">
        <f t="shared" si="6"/>
        <v>0</v>
      </c>
      <c r="R57" s="3"/>
      <c r="S57" s="3">
        <v>52</v>
      </c>
      <c r="T57" s="3" t="s">
        <v>118</v>
      </c>
      <c r="U57" s="3" t="s">
        <v>320</v>
      </c>
      <c r="V57" s="27">
        <v>6.24</v>
      </c>
      <c r="W57" s="3"/>
      <c r="X57" s="3"/>
      <c r="Y57" s="3"/>
      <c r="Z57" s="3"/>
    </row>
    <row r="58" spans="1:26" ht="16.5" x14ac:dyDescent="0.25">
      <c r="A58" s="17" t="s">
        <v>119</v>
      </c>
      <c r="B58" s="2" t="s">
        <v>120</v>
      </c>
      <c r="C58" s="2">
        <v>53</v>
      </c>
      <c r="D58" s="20">
        <v>126.90447</v>
      </c>
      <c r="E58">
        <f t="shared" si="10"/>
        <v>126.90447</v>
      </c>
      <c r="F58">
        <f t="shared" si="11"/>
        <v>126.90447</v>
      </c>
      <c r="G58">
        <f t="shared" si="12"/>
        <v>126.90447</v>
      </c>
      <c r="I58" s="3">
        <v>53</v>
      </c>
      <c r="J58" s="3" t="s">
        <v>120</v>
      </c>
      <c r="K58" s="21">
        <v>126.904</v>
      </c>
      <c r="L58" s="3">
        <f t="shared" si="7"/>
        <v>126.904</v>
      </c>
      <c r="M58" s="3">
        <f t="shared" si="8"/>
        <v>126.904</v>
      </c>
      <c r="N58" s="3">
        <f t="shared" si="9"/>
        <v>126.904</v>
      </c>
      <c r="O58" s="3"/>
      <c r="P58" s="3">
        <f t="shared" si="5"/>
        <v>4.7000000000707587E-4</v>
      </c>
      <c r="Q58" s="22">
        <f t="shared" si="6"/>
        <v>3.7035869634296467E-6</v>
      </c>
      <c r="R58" s="3"/>
      <c r="S58" s="3">
        <v>53</v>
      </c>
      <c r="T58" s="3" t="s">
        <v>120</v>
      </c>
      <c r="U58" s="3" t="s">
        <v>321</v>
      </c>
      <c r="V58" s="27">
        <v>4.93</v>
      </c>
      <c r="W58" s="3"/>
      <c r="X58" s="3"/>
      <c r="Y58" s="3"/>
      <c r="Z58" s="3"/>
    </row>
    <row r="59" spans="1:26" ht="16.5" x14ac:dyDescent="0.25">
      <c r="A59" s="17" t="s">
        <v>121</v>
      </c>
      <c r="B59" s="2" t="s">
        <v>122</v>
      </c>
      <c r="C59" s="2">
        <v>54</v>
      </c>
      <c r="D59" s="20">
        <v>131.29300000000001</v>
      </c>
      <c r="E59">
        <f t="shared" si="10"/>
        <v>131.29300000000001</v>
      </c>
      <c r="F59">
        <f t="shared" si="11"/>
        <v>131.29300000000001</v>
      </c>
      <c r="G59">
        <f t="shared" si="12"/>
        <v>131.29300000000001</v>
      </c>
      <c r="I59" s="3">
        <v>54</v>
      </c>
      <c r="J59" s="3" t="s">
        <v>122</v>
      </c>
      <c r="K59" s="21">
        <v>131.29300000000001</v>
      </c>
      <c r="L59" s="3">
        <f t="shared" si="7"/>
        <v>131.29300000000001</v>
      </c>
      <c r="M59" s="3">
        <f t="shared" si="8"/>
        <v>131.29300000000001</v>
      </c>
      <c r="N59" s="3">
        <f t="shared" si="9"/>
        <v>131.29300000000001</v>
      </c>
      <c r="O59" s="3"/>
      <c r="P59" s="3">
        <f t="shared" si="5"/>
        <v>0</v>
      </c>
      <c r="Q59" s="22">
        <f t="shared" si="6"/>
        <v>0</v>
      </c>
      <c r="R59" s="3"/>
      <c r="S59" s="3">
        <v>54</v>
      </c>
      <c r="T59" s="3" t="s">
        <v>122</v>
      </c>
      <c r="U59" s="3" t="s">
        <v>322</v>
      </c>
      <c r="V59" s="27">
        <v>5.4850000000000003E-3</v>
      </c>
      <c r="W59" s="3"/>
      <c r="X59" s="3"/>
      <c r="Y59" s="3"/>
      <c r="Z59" s="3"/>
    </row>
    <row r="60" spans="1:26" ht="16.5" x14ac:dyDescent="0.25">
      <c r="A60" s="17" t="s">
        <v>386</v>
      </c>
      <c r="B60" s="2" t="s">
        <v>123</v>
      </c>
      <c r="C60" s="2">
        <v>55</v>
      </c>
      <c r="D60" s="20">
        <v>132.90545195999999</v>
      </c>
      <c r="E60">
        <f t="shared" si="10"/>
        <v>132.90545195999999</v>
      </c>
      <c r="F60">
        <f t="shared" si="11"/>
        <v>132.90545195999999</v>
      </c>
      <c r="G60">
        <f t="shared" si="12"/>
        <v>132.90545195999999</v>
      </c>
      <c r="I60" s="3">
        <v>55</v>
      </c>
      <c r="J60" s="3" t="s">
        <v>123</v>
      </c>
      <c r="K60" s="21">
        <v>132.905</v>
      </c>
      <c r="L60" s="3">
        <f t="shared" si="7"/>
        <v>132.905</v>
      </c>
      <c r="M60" s="3">
        <f t="shared" si="8"/>
        <v>132.905</v>
      </c>
      <c r="N60" s="3">
        <f t="shared" si="9"/>
        <v>132.905</v>
      </c>
      <c r="O60" s="3"/>
      <c r="P60" s="3">
        <f t="shared" si="5"/>
        <v>4.5195999999236847E-4</v>
      </c>
      <c r="Q60" s="22">
        <f t="shared" si="6"/>
        <v>3.4006245061688309E-6</v>
      </c>
      <c r="R60" s="3"/>
      <c r="S60" s="3">
        <v>55</v>
      </c>
      <c r="T60" s="3" t="s">
        <v>123</v>
      </c>
      <c r="U60" s="3" t="s">
        <v>323</v>
      </c>
      <c r="V60" s="27">
        <v>1.873</v>
      </c>
      <c r="W60" s="3"/>
      <c r="X60" s="3"/>
      <c r="Y60" s="3"/>
      <c r="Z60" s="3"/>
    </row>
    <row r="61" spans="1:26" ht="16.5" x14ac:dyDescent="0.25">
      <c r="A61" s="17" t="s">
        <v>124</v>
      </c>
      <c r="B61" s="2" t="s">
        <v>125</v>
      </c>
      <c r="C61" s="2">
        <v>56</v>
      </c>
      <c r="D61" s="20">
        <v>137.327</v>
      </c>
      <c r="E61">
        <f t="shared" si="10"/>
        <v>137.327</v>
      </c>
      <c r="F61">
        <f t="shared" si="11"/>
        <v>137.327</v>
      </c>
      <c r="G61">
        <f t="shared" si="12"/>
        <v>137.327</v>
      </c>
      <c r="I61" s="3">
        <v>56</v>
      </c>
      <c r="J61" s="3" t="s">
        <v>125</v>
      </c>
      <c r="K61" s="21">
        <v>137.327</v>
      </c>
      <c r="L61" s="3">
        <f t="shared" si="7"/>
        <v>137.327</v>
      </c>
      <c r="M61" s="3">
        <f t="shared" si="8"/>
        <v>137.327</v>
      </c>
      <c r="N61" s="3">
        <f t="shared" si="9"/>
        <v>137.327</v>
      </c>
      <c r="O61" s="3"/>
      <c r="P61" s="3">
        <f t="shared" si="5"/>
        <v>0</v>
      </c>
      <c r="Q61" s="22">
        <f t="shared" si="6"/>
        <v>0</v>
      </c>
      <c r="R61" s="3"/>
      <c r="S61" s="3">
        <v>56</v>
      </c>
      <c r="T61" s="3" t="s">
        <v>125</v>
      </c>
      <c r="U61" s="3" t="s">
        <v>324</v>
      </c>
      <c r="V61" s="27">
        <v>3.5</v>
      </c>
      <c r="W61" s="3"/>
      <c r="X61" s="3"/>
      <c r="Y61" s="3"/>
      <c r="Z61" s="3"/>
    </row>
    <row r="62" spans="1:26" ht="16.5" x14ac:dyDescent="0.25">
      <c r="A62" s="17" t="s">
        <v>126</v>
      </c>
      <c r="B62" s="2" t="s">
        <v>127</v>
      </c>
      <c r="C62" s="2">
        <v>57</v>
      </c>
      <c r="D62" s="20">
        <v>138.90547000000001</v>
      </c>
      <c r="E62">
        <f t="shared" si="10"/>
        <v>138.90547000000001</v>
      </c>
      <c r="F62">
        <f t="shared" si="11"/>
        <v>138.90547000000001</v>
      </c>
      <c r="G62">
        <f t="shared" si="12"/>
        <v>138.90547000000001</v>
      </c>
      <c r="I62" s="3">
        <v>57</v>
      </c>
      <c r="J62" s="3" t="s">
        <v>127</v>
      </c>
      <c r="K62" s="21">
        <v>138.905</v>
      </c>
      <c r="L62" s="3">
        <f t="shared" si="7"/>
        <v>138.905</v>
      </c>
      <c r="M62" s="3">
        <f t="shared" si="8"/>
        <v>138.905</v>
      </c>
      <c r="N62" s="3">
        <f t="shared" si="9"/>
        <v>138.905</v>
      </c>
      <c r="O62" s="3"/>
      <c r="P62" s="3">
        <f t="shared" si="5"/>
        <v>4.7000000000707587E-4</v>
      </c>
      <c r="Q62" s="22">
        <f t="shared" si="6"/>
        <v>3.3836075015807627E-6</v>
      </c>
      <c r="R62" s="3"/>
      <c r="S62" s="3">
        <v>57</v>
      </c>
      <c r="T62" s="3" t="s">
        <v>127</v>
      </c>
      <c r="U62" s="3" t="s">
        <v>325</v>
      </c>
      <c r="V62" s="27">
        <v>6.1539999999999999</v>
      </c>
      <c r="W62" s="3"/>
      <c r="X62" s="3"/>
      <c r="Y62" s="3"/>
      <c r="Z62" s="3"/>
    </row>
    <row r="63" spans="1:26" ht="16.5" x14ac:dyDescent="0.25">
      <c r="A63" s="17" t="s">
        <v>128</v>
      </c>
      <c r="B63" s="2" t="s">
        <v>129</v>
      </c>
      <c r="C63" s="2">
        <v>58</v>
      </c>
      <c r="D63" s="20">
        <v>140.11600000000001</v>
      </c>
      <c r="E63">
        <f t="shared" si="10"/>
        <v>140.11600000000001</v>
      </c>
      <c r="F63">
        <f t="shared" si="11"/>
        <v>140.11600000000001</v>
      </c>
      <c r="G63">
        <f t="shared" si="12"/>
        <v>140.11600000000001</v>
      </c>
      <c r="I63" s="3">
        <v>58</v>
      </c>
      <c r="J63" s="3" t="s">
        <v>129</v>
      </c>
      <c r="K63" s="21">
        <v>140.11600000000001</v>
      </c>
      <c r="L63" s="3">
        <f t="shared" si="7"/>
        <v>140.11600000000001</v>
      </c>
      <c r="M63" s="3">
        <f t="shared" si="8"/>
        <v>140.11600000000001</v>
      </c>
      <c r="N63" s="3">
        <f t="shared" si="9"/>
        <v>140.11600000000001</v>
      </c>
      <c r="O63" s="3"/>
      <c r="P63" s="3">
        <f t="shared" si="5"/>
        <v>0</v>
      </c>
      <c r="Q63" s="22">
        <f t="shared" si="6"/>
        <v>0</v>
      </c>
      <c r="R63" s="3"/>
      <c r="S63" s="3">
        <v>58</v>
      </c>
      <c r="T63" s="3" t="s">
        <v>129</v>
      </c>
      <c r="U63" s="3" t="s">
        <v>326</v>
      </c>
      <c r="V63" s="27">
        <v>6.657</v>
      </c>
      <c r="W63" s="3"/>
      <c r="X63" s="3"/>
      <c r="Y63" s="3"/>
      <c r="Z63" s="3"/>
    </row>
    <row r="64" spans="1:26" ht="16.5" x14ac:dyDescent="0.25">
      <c r="A64" s="17" t="s">
        <v>130</v>
      </c>
      <c r="B64" s="2" t="s">
        <v>131</v>
      </c>
      <c r="C64" s="2">
        <v>59</v>
      </c>
      <c r="D64" s="20">
        <v>140.90765999999999</v>
      </c>
      <c r="E64">
        <f t="shared" si="10"/>
        <v>140.90765999999999</v>
      </c>
      <c r="F64">
        <f t="shared" si="11"/>
        <v>140.90765999999999</v>
      </c>
      <c r="G64">
        <f t="shared" si="12"/>
        <v>140.90765999999999</v>
      </c>
      <c r="I64" s="3">
        <v>59</v>
      </c>
      <c r="J64" s="3" t="s">
        <v>131</v>
      </c>
      <c r="K64" s="21">
        <v>140.90700000000001</v>
      </c>
      <c r="L64" s="3">
        <f t="shared" si="7"/>
        <v>140.90700000000001</v>
      </c>
      <c r="M64" s="3">
        <f t="shared" si="8"/>
        <v>140.90700000000001</v>
      </c>
      <c r="N64" s="3">
        <f t="shared" si="9"/>
        <v>140.90700000000001</v>
      </c>
      <c r="O64" s="3"/>
      <c r="P64" s="3">
        <f t="shared" si="5"/>
        <v>6.5999999998211933E-4</v>
      </c>
      <c r="Q64" s="22">
        <f t="shared" si="6"/>
        <v>4.6839404712478394E-6</v>
      </c>
      <c r="R64" s="3"/>
      <c r="S64" s="3">
        <v>59</v>
      </c>
      <c r="T64" s="3" t="s">
        <v>131</v>
      </c>
      <c r="U64" s="3" t="s">
        <v>327</v>
      </c>
      <c r="V64" s="27">
        <v>6.71</v>
      </c>
      <c r="W64" s="3"/>
      <c r="X64" s="3"/>
      <c r="Y64" s="3"/>
      <c r="Z64" s="3"/>
    </row>
    <row r="65" spans="1:26" ht="16.5" x14ac:dyDescent="0.25">
      <c r="A65" s="17" t="s">
        <v>132</v>
      </c>
      <c r="B65" s="2" t="s">
        <v>133</v>
      </c>
      <c r="C65" s="2">
        <v>60</v>
      </c>
      <c r="D65" s="20">
        <v>144.24199999999999</v>
      </c>
      <c r="E65">
        <f t="shared" si="10"/>
        <v>144.24199999999999</v>
      </c>
      <c r="F65">
        <f t="shared" si="11"/>
        <v>144.24199999999999</v>
      </c>
      <c r="G65">
        <f t="shared" si="12"/>
        <v>144.24199999999999</v>
      </c>
      <c r="I65" s="3">
        <v>60</v>
      </c>
      <c r="J65" s="3" t="s">
        <v>133</v>
      </c>
      <c r="K65" s="21">
        <v>144.24199999999999</v>
      </c>
      <c r="L65" s="3">
        <f t="shared" si="7"/>
        <v>144.24199999999999</v>
      </c>
      <c r="M65" s="3">
        <f t="shared" si="8"/>
        <v>144.24199999999999</v>
      </c>
      <c r="N65" s="3">
        <f t="shared" si="9"/>
        <v>144.24199999999999</v>
      </c>
      <c r="O65" s="3"/>
      <c r="P65" s="3">
        <f t="shared" si="5"/>
        <v>0</v>
      </c>
      <c r="Q65" s="22">
        <f t="shared" si="6"/>
        <v>0</v>
      </c>
      <c r="R65" s="3"/>
      <c r="S65" s="3">
        <v>60</v>
      </c>
      <c r="T65" s="3" t="s">
        <v>133</v>
      </c>
      <c r="U65" s="3" t="s">
        <v>328</v>
      </c>
      <c r="V65" s="27">
        <v>6.9</v>
      </c>
      <c r="W65" s="3"/>
      <c r="X65" s="3"/>
      <c r="Y65" s="3"/>
      <c r="Z65" s="3"/>
    </row>
    <row r="66" spans="1:26" ht="16.5" x14ac:dyDescent="0.25">
      <c r="A66" s="17" t="s">
        <v>134</v>
      </c>
      <c r="B66" s="2" t="s">
        <v>135</v>
      </c>
      <c r="C66" s="2">
        <v>61</v>
      </c>
      <c r="D66" s="20">
        <v>-145</v>
      </c>
      <c r="E66">
        <f t="shared" si="10"/>
        <v>-145</v>
      </c>
      <c r="F66">
        <f t="shared" si="11"/>
        <v>-145</v>
      </c>
      <c r="G66">
        <f t="shared" si="12"/>
        <v>-145</v>
      </c>
      <c r="I66" s="3">
        <v>61</v>
      </c>
      <c r="J66" s="3" t="s">
        <v>135</v>
      </c>
      <c r="K66" s="21" t="s">
        <v>365</v>
      </c>
      <c r="L66" s="3" t="e">
        <f t="shared" si="7"/>
        <v>#VALUE!</v>
      </c>
      <c r="M66" s="3" t="e">
        <f t="shared" si="8"/>
        <v>#VALUE!</v>
      </c>
      <c r="N66" s="3" t="e">
        <f t="shared" si="9"/>
        <v>#VALUE!</v>
      </c>
      <c r="O66" s="3"/>
      <c r="P66" s="3" t="e">
        <f t="shared" si="5"/>
        <v>#VALUE!</v>
      </c>
      <c r="Q66" s="22" t="e">
        <f t="shared" si="6"/>
        <v>#VALUE!</v>
      </c>
      <c r="R66" s="3"/>
      <c r="S66" s="3">
        <v>61</v>
      </c>
      <c r="T66" s="3" t="s">
        <v>135</v>
      </c>
      <c r="U66" s="3" t="s">
        <v>329</v>
      </c>
      <c r="V66" s="27">
        <v>7.22</v>
      </c>
      <c r="W66" s="3"/>
      <c r="X66" s="3"/>
      <c r="Y66" s="3"/>
      <c r="Z66" s="3"/>
    </row>
    <row r="67" spans="1:26" ht="16.5" x14ac:dyDescent="0.25">
      <c r="A67" s="17" t="s">
        <v>136</v>
      </c>
      <c r="B67" s="2" t="s">
        <v>137</v>
      </c>
      <c r="C67" s="2">
        <v>62</v>
      </c>
      <c r="D67" s="20">
        <v>150.36000000000001</v>
      </c>
      <c r="E67">
        <f t="shared" si="10"/>
        <v>150.36000000000001</v>
      </c>
      <c r="F67">
        <f t="shared" si="11"/>
        <v>150.36000000000001</v>
      </c>
      <c r="G67">
        <f t="shared" si="12"/>
        <v>150.36000000000001</v>
      </c>
      <c r="I67" s="3">
        <v>62</v>
      </c>
      <c r="J67" s="3" t="s">
        <v>137</v>
      </c>
      <c r="K67" s="21">
        <v>150.36000000000001</v>
      </c>
      <c r="L67" s="3">
        <f t="shared" si="7"/>
        <v>150.36000000000001</v>
      </c>
      <c r="M67" s="3">
        <f t="shared" si="8"/>
        <v>150.36000000000001</v>
      </c>
      <c r="N67" s="3">
        <f t="shared" si="9"/>
        <v>150.36000000000001</v>
      </c>
      <c r="O67" s="3"/>
      <c r="P67" s="3">
        <f t="shared" si="5"/>
        <v>0</v>
      </c>
      <c r="Q67" s="22">
        <f t="shared" si="6"/>
        <v>0</v>
      </c>
      <c r="R67" s="3"/>
      <c r="S67" s="3">
        <v>62</v>
      </c>
      <c r="T67" s="3" t="s">
        <v>137</v>
      </c>
      <c r="U67" s="3" t="s">
        <v>330</v>
      </c>
      <c r="V67" s="27">
        <v>7.46</v>
      </c>
      <c r="W67" s="3"/>
      <c r="X67" s="3"/>
      <c r="Y67" s="3"/>
      <c r="Z67" s="3"/>
    </row>
    <row r="68" spans="1:26" ht="16.5" x14ac:dyDescent="0.25">
      <c r="A68" s="17" t="s">
        <v>138</v>
      </c>
      <c r="B68" s="2" t="s">
        <v>139</v>
      </c>
      <c r="C68" s="2">
        <v>63</v>
      </c>
      <c r="D68" s="20">
        <v>151.964</v>
      </c>
      <c r="E68">
        <f t="shared" si="10"/>
        <v>151.964</v>
      </c>
      <c r="F68">
        <f t="shared" si="11"/>
        <v>151.964</v>
      </c>
      <c r="G68">
        <f t="shared" si="12"/>
        <v>151.964</v>
      </c>
      <c r="I68" s="3">
        <v>63</v>
      </c>
      <c r="J68" s="3" t="s">
        <v>139</v>
      </c>
      <c r="K68" s="21">
        <v>151.964</v>
      </c>
      <c r="L68" s="3">
        <f t="shared" si="7"/>
        <v>151.964</v>
      </c>
      <c r="M68" s="3">
        <f t="shared" si="8"/>
        <v>151.964</v>
      </c>
      <c r="N68" s="3">
        <f t="shared" si="9"/>
        <v>151.964</v>
      </c>
      <c r="O68" s="3"/>
      <c r="P68" s="3">
        <f t="shared" si="5"/>
        <v>0</v>
      </c>
      <c r="Q68" s="22">
        <f t="shared" si="6"/>
        <v>0</v>
      </c>
      <c r="R68" s="3"/>
      <c r="S68" s="3">
        <v>63</v>
      </c>
      <c r="T68" s="3" t="s">
        <v>139</v>
      </c>
      <c r="U68" s="3" t="s">
        <v>331</v>
      </c>
      <c r="V68" s="27">
        <v>5.2430000000000003</v>
      </c>
      <c r="W68" s="3"/>
      <c r="X68" s="3"/>
      <c r="Y68" s="3"/>
      <c r="Z68" s="3"/>
    </row>
    <row r="69" spans="1:26" ht="16.5" x14ac:dyDescent="0.25">
      <c r="A69" s="17" t="s">
        <v>140</v>
      </c>
      <c r="B69" s="2" t="s">
        <v>141</v>
      </c>
      <c r="C69" s="2">
        <v>64</v>
      </c>
      <c r="D69" s="20">
        <v>157.25</v>
      </c>
      <c r="E69">
        <f t="shared" si="10"/>
        <v>157.25</v>
      </c>
      <c r="F69">
        <f t="shared" si="11"/>
        <v>157.25</v>
      </c>
      <c r="G69">
        <f t="shared" si="12"/>
        <v>157.25</v>
      </c>
      <c r="I69" s="3">
        <v>64</v>
      </c>
      <c r="J69" s="3" t="s">
        <v>141</v>
      </c>
      <c r="K69" s="21">
        <v>157.25</v>
      </c>
      <c r="L69" s="3">
        <f t="shared" si="7"/>
        <v>157.25</v>
      </c>
      <c r="M69" s="3">
        <f t="shared" si="8"/>
        <v>157.25</v>
      </c>
      <c r="N69" s="3">
        <f t="shared" si="9"/>
        <v>157.25</v>
      </c>
      <c r="O69" s="3"/>
      <c r="P69" s="3">
        <f t="shared" si="5"/>
        <v>0</v>
      </c>
      <c r="Q69" s="22">
        <f t="shared" si="6"/>
        <v>0</v>
      </c>
      <c r="R69" s="3"/>
      <c r="S69" s="3">
        <v>64</v>
      </c>
      <c r="T69" s="3" t="s">
        <v>141</v>
      </c>
      <c r="U69" s="3" t="s">
        <v>332</v>
      </c>
      <c r="V69" s="27">
        <v>7.9</v>
      </c>
      <c r="W69" s="3"/>
      <c r="X69" s="3"/>
      <c r="Y69" s="3"/>
      <c r="Z69" s="3"/>
    </row>
    <row r="70" spans="1:26" ht="16.5" x14ac:dyDescent="0.25">
      <c r="A70" s="17" t="s">
        <v>142</v>
      </c>
      <c r="B70" s="2" t="s">
        <v>143</v>
      </c>
      <c r="C70" s="2">
        <v>65</v>
      </c>
      <c r="D70" s="20">
        <v>158.92535000000001</v>
      </c>
      <c r="E70">
        <f t="shared" si="10"/>
        <v>158.92535000000001</v>
      </c>
      <c r="F70">
        <f t="shared" si="11"/>
        <v>158.92535000000001</v>
      </c>
      <c r="G70">
        <f t="shared" si="12"/>
        <v>158.92535000000001</v>
      </c>
      <c r="I70" s="3">
        <v>65</v>
      </c>
      <c r="J70" s="3" t="s">
        <v>143</v>
      </c>
      <c r="K70" s="21">
        <v>158.92500000000001</v>
      </c>
      <c r="L70" s="3">
        <f t="shared" si="7"/>
        <v>158.92500000000001</v>
      </c>
      <c r="M70" s="3">
        <f t="shared" si="8"/>
        <v>158.92500000000001</v>
      </c>
      <c r="N70" s="3">
        <f t="shared" si="9"/>
        <v>158.92500000000001</v>
      </c>
      <c r="O70" s="3"/>
      <c r="P70" s="3">
        <f t="shared" si="5"/>
        <v>3.4999999999740794E-4</v>
      </c>
      <c r="Q70" s="22">
        <f t="shared" si="6"/>
        <v>2.2022966808079783E-6</v>
      </c>
      <c r="R70" s="3"/>
      <c r="S70" s="3">
        <v>65</v>
      </c>
      <c r="T70" s="3" t="s">
        <v>143</v>
      </c>
      <c r="U70" s="3" t="s">
        <v>333</v>
      </c>
      <c r="V70" s="27">
        <v>8.2289999999999992</v>
      </c>
      <c r="W70" s="3"/>
      <c r="X70" s="3"/>
      <c r="Y70" s="3"/>
      <c r="Z70" s="3"/>
    </row>
    <row r="71" spans="1:26" ht="16.5" x14ac:dyDescent="0.25">
      <c r="A71" s="17" t="s">
        <v>144</v>
      </c>
      <c r="B71" s="2" t="s">
        <v>145</v>
      </c>
      <c r="C71" s="2">
        <v>66</v>
      </c>
      <c r="D71" s="20">
        <v>162.5</v>
      </c>
      <c r="E71">
        <f t="shared" si="10"/>
        <v>162.5</v>
      </c>
      <c r="F71">
        <f t="shared" si="11"/>
        <v>162.5</v>
      </c>
      <c r="G71">
        <f t="shared" si="12"/>
        <v>162.5</v>
      </c>
      <c r="I71" s="3">
        <v>66</v>
      </c>
      <c r="J71" s="3" t="s">
        <v>145</v>
      </c>
      <c r="K71" s="21">
        <v>162.5</v>
      </c>
      <c r="L71" s="3">
        <f t="shared" si="7"/>
        <v>162.5</v>
      </c>
      <c r="M71" s="3">
        <f t="shared" si="8"/>
        <v>162.5</v>
      </c>
      <c r="N71" s="3">
        <f t="shared" si="9"/>
        <v>162.5</v>
      </c>
      <c r="O71" s="3"/>
      <c r="P71" s="3">
        <f t="shared" ref="P71:P99" si="13">G71-N71</f>
        <v>0</v>
      </c>
      <c r="Q71" s="22">
        <f t="shared" ref="Q71:Q99" si="14">P71/N71</f>
        <v>0</v>
      </c>
      <c r="R71" s="3"/>
      <c r="S71" s="3">
        <v>66</v>
      </c>
      <c r="T71" s="3" t="s">
        <v>145</v>
      </c>
      <c r="U71" s="3" t="s">
        <v>334</v>
      </c>
      <c r="V71" s="27">
        <v>8.5500000000000007</v>
      </c>
      <c r="W71" s="3"/>
      <c r="X71" s="3"/>
      <c r="Y71" s="3"/>
      <c r="Z71" s="3"/>
    </row>
    <row r="72" spans="1:26" ht="16.5" x14ac:dyDescent="0.25">
      <c r="A72" s="17" t="s">
        <v>146</v>
      </c>
      <c r="B72" s="2" t="s">
        <v>147</v>
      </c>
      <c r="C72" s="2">
        <v>67</v>
      </c>
      <c r="D72" s="20">
        <v>164.93033</v>
      </c>
      <c r="E72">
        <f t="shared" si="10"/>
        <v>164.93033</v>
      </c>
      <c r="F72">
        <f t="shared" si="11"/>
        <v>164.93033</v>
      </c>
      <c r="G72">
        <f t="shared" si="12"/>
        <v>164.93033</v>
      </c>
      <c r="I72" s="3">
        <v>67</v>
      </c>
      <c r="J72" s="3" t="s">
        <v>147</v>
      </c>
      <c r="K72" s="21">
        <v>164.93</v>
      </c>
      <c r="L72" s="3">
        <f t="shared" ref="L72:L99" si="15">IF(LEFT($K72,1)="[",VALUE(MID($K72,2,FIND(",",$K72)-2)), $K72)</f>
        <v>164.93</v>
      </c>
      <c r="M72" s="3">
        <f t="shared" ref="M72:M99" si="16">IF(LEFT($K72,1)="[",VALUE(MID($K72,FIND(",",$K72)+2,FIND("]",$K72)-FIND(",",$K72)-2)), $K72)</f>
        <v>164.93</v>
      </c>
      <c r="N72" s="3">
        <f t="shared" ref="N72:N99" si="17">AVERAGE(L72,M72)</f>
        <v>164.93</v>
      </c>
      <c r="O72" s="3"/>
      <c r="P72" s="3">
        <f t="shared" si="13"/>
        <v>3.2999999999105967E-4</v>
      </c>
      <c r="Q72" s="22">
        <f t="shared" si="14"/>
        <v>2.0008488449103234E-6</v>
      </c>
      <c r="R72" s="3"/>
      <c r="S72" s="3">
        <v>67</v>
      </c>
      <c r="T72" s="3" t="s">
        <v>147</v>
      </c>
      <c r="U72" s="3" t="s">
        <v>335</v>
      </c>
      <c r="V72" s="27">
        <v>8.7949999999999999</v>
      </c>
      <c r="W72" s="3"/>
      <c r="X72" s="3"/>
      <c r="Y72" s="3"/>
      <c r="Z72" s="3"/>
    </row>
    <row r="73" spans="1:26" ht="16.5" x14ac:dyDescent="0.25">
      <c r="A73" s="17" t="s">
        <v>148</v>
      </c>
      <c r="B73" s="2" t="s">
        <v>149</v>
      </c>
      <c r="C73" s="2">
        <v>68</v>
      </c>
      <c r="D73" s="20">
        <v>167.25899999999999</v>
      </c>
      <c r="E73">
        <f t="shared" ref="E73:E123" si="18">IF(LEFT($D73,1)="[",VALUE(MID($D73,2,FIND(",",$D73)-2)), $D73)</f>
        <v>167.25899999999999</v>
      </c>
      <c r="F73">
        <f t="shared" ref="F73:F123" si="19">IF(LEFT($D73,1)="[",VALUE(MID($D73,FIND(",",$D73)+2,FIND("]",$D73)-FIND(",",$D73)-2)), $D73)</f>
        <v>167.25899999999999</v>
      </c>
      <c r="G73">
        <f t="shared" ref="G73:G123" si="20">AVERAGE(E73,F73)</f>
        <v>167.25899999999999</v>
      </c>
      <c r="I73" s="3">
        <v>68</v>
      </c>
      <c r="J73" s="3" t="s">
        <v>149</v>
      </c>
      <c r="K73" s="21">
        <v>167.25899999999999</v>
      </c>
      <c r="L73" s="3">
        <f t="shared" si="15"/>
        <v>167.25899999999999</v>
      </c>
      <c r="M73" s="3">
        <f t="shared" si="16"/>
        <v>167.25899999999999</v>
      </c>
      <c r="N73" s="3">
        <f t="shared" si="17"/>
        <v>167.25899999999999</v>
      </c>
      <c r="O73" s="3"/>
      <c r="P73" s="3">
        <f t="shared" si="13"/>
        <v>0</v>
      </c>
      <c r="Q73" s="22">
        <f t="shared" si="14"/>
        <v>0</v>
      </c>
      <c r="R73" s="3"/>
      <c r="S73" s="3">
        <v>68</v>
      </c>
      <c r="T73" s="3" t="s">
        <v>149</v>
      </c>
      <c r="U73" s="3" t="s">
        <v>336</v>
      </c>
      <c r="V73" s="27">
        <v>9.0660000000000007</v>
      </c>
      <c r="W73" s="3"/>
      <c r="X73" s="3"/>
      <c r="Y73" s="3"/>
      <c r="Z73" s="3"/>
    </row>
    <row r="74" spans="1:26" ht="16.5" x14ac:dyDescent="0.25">
      <c r="A74" s="17" t="s">
        <v>150</v>
      </c>
      <c r="B74" s="2" t="s">
        <v>151</v>
      </c>
      <c r="C74" s="2">
        <v>69</v>
      </c>
      <c r="D74" s="20">
        <v>168.93422000000001</v>
      </c>
      <c r="E74">
        <f t="shared" si="18"/>
        <v>168.93422000000001</v>
      </c>
      <c r="F74">
        <f t="shared" si="19"/>
        <v>168.93422000000001</v>
      </c>
      <c r="G74">
        <f t="shared" si="20"/>
        <v>168.93422000000001</v>
      </c>
      <c r="I74" s="3">
        <v>69</v>
      </c>
      <c r="J74" s="3" t="s">
        <v>151</v>
      </c>
      <c r="K74" s="21">
        <v>168.934</v>
      </c>
      <c r="L74" s="3">
        <f t="shared" si="15"/>
        <v>168.934</v>
      </c>
      <c r="M74" s="3">
        <f t="shared" si="16"/>
        <v>168.934</v>
      </c>
      <c r="N74" s="3">
        <f t="shared" si="17"/>
        <v>168.934</v>
      </c>
      <c r="O74" s="3"/>
      <c r="P74" s="3">
        <f t="shared" si="13"/>
        <v>2.2000000001298758E-4</v>
      </c>
      <c r="Q74" s="22">
        <f t="shared" si="14"/>
        <v>1.3022837321852771E-6</v>
      </c>
      <c r="R74" s="3"/>
      <c r="S74" s="3">
        <v>69</v>
      </c>
      <c r="T74" s="3" t="s">
        <v>151</v>
      </c>
      <c r="U74" s="3" t="s">
        <v>337</v>
      </c>
      <c r="V74" s="27">
        <v>9.3209999999999997</v>
      </c>
      <c r="W74" s="3"/>
      <c r="X74" s="3"/>
      <c r="Y74" s="3"/>
      <c r="Z74" s="3"/>
    </row>
    <row r="75" spans="1:26" ht="16.5" x14ac:dyDescent="0.25">
      <c r="A75" s="17" t="s">
        <v>152</v>
      </c>
      <c r="B75" s="2" t="s">
        <v>153</v>
      </c>
      <c r="C75" s="2">
        <v>70</v>
      </c>
      <c r="D75" s="20">
        <v>173.04499999999999</v>
      </c>
      <c r="E75">
        <f t="shared" si="18"/>
        <v>173.04499999999999</v>
      </c>
      <c r="F75">
        <f t="shared" si="19"/>
        <v>173.04499999999999</v>
      </c>
      <c r="G75">
        <f t="shared" si="20"/>
        <v>173.04499999999999</v>
      </c>
      <c r="I75" s="3">
        <v>70</v>
      </c>
      <c r="J75" s="3" t="s">
        <v>153</v>
      </c>
      <c r="K75" s="21">
        <v>173.054</v>
      </c>
      <c r="L75" s="3">
        <f t="shared" si="15"/>
        <v>173.054</v>
      </c>
      <c r="M75" s="3">
        <f t="shared" si="16"/>
        <v>173.054</v>
      </c>
      <c r="N75" s="3">
        <f t="shared" si="17"/>
        <v>173.054</v>
      </c>
      <c r="O75" s="3"/>
      <c r="P75" s="3">
        <f t="shared" si="13"/>
        <v>-9.0000000000145519E-3</v>
      </c>
      <c r="Q75" s="22">
        <f t="shared" si="14"/>
        <v>-5.2006888023475632E-5</v>
      </c>
      <c r="R75" s="3"/>
      <c r="S75" s="3">
        <v>70</v>
      </c>
      <c r="T75" s="3" t="s">
        <v>153</v>
      </c>
      <c r="U75" s="3" t="s">
        <v>338</v>
      </c>
      <c r="V75" s="27">
        <v>6.73</v>
      </c>
      <c r="W75" s="3"/>
      <c r="X75" s="3"/>
      <c r="Y75" s="3"/>
      <c r="Z75" s="3"/>
    </row>
    <row r="76" spans="1:26" ht="16.5" x14ac:dyDescent="0.25">
      <c r="A76" s="17" t="s">
        <v>154</v>
      </c>
      <c r="B76" s="2" t="s">
        <v>155</v>
      </c>
      <c r="C76" s="2">
        <v>71</v>
      </c>
      <c r="D76" s="20">
        <v>174.96680000000001</v>
      </c>
      <c r="E76">
        <f t="shared" si="18"/>
        <v>174.96680000000001</v>
      </c>
      <c r="F76">
        <f t="shared" si="19"/>
        <v>174.96680000000001</v>
      </c>
      <c r="G76">
        <f t="shared" si="20"/>
        <v>174.96680000000001</v>
      </c>
      <c r="I76" s="3">
        <v>71</v>
      </c>
      <c r="J76" s="3" t="s">
        <v>155</v>
      </c>
      <c r="K76" s="21">
        <v>174.96680000000001</v>
      </c>
      <c r="L76" s="3">
        <f t="shared" si="15"/>
        <v>174.96680000000001</v>
      </c>
      <c r="M76" s="3">
        <f t="shared" si="16"/>
        <v>174.96680000000001</v>
      </c>
      <c r="N76" s="3">
        <f t="shared" si="17"/>
        <v>174.96680000000001</v>
      </c>
      <c r="O76" s="3"/>
      <c r="P76" s="3">
        <f t="shared" si="13"/>
        <v>0</v>
      </c>
      <c r="Q76" s="22">
        <f t="shared" si="14"/>
        <v>0</v>
      </c>
      <c r="R76" s="3"/>
      <c r="S76" s="3">
        <v>71</v>
      </c>
      <c r="T76" s="3" t="s">
        <v>155</v>
      </c>
      <c r="U76" s="3" t="s">
        <v>339</v>
      </c>
      <c r="V76" s="27">
        <v>9.84</v>
      </c>
      <c r="W76" s="3"/>
      <c r="X76" s="3"/>
      <c r="Y76" s="3"/>
      <c r="Z76" s="3"/>
    </row>
    <row r="77" spans="1:26" ht="16.5" x14ac:dyDescent="0.25">
      <c r="A77" s="17" t="s">
        <v>156</v>
      </c>
      <c r="B77" s="2" t="s">
        <v>157</v>
      </c>
      <c r="C77" s="2">
        <v>72</v>
      </c>
      <c r="D77" s="20">
        <v>178.49</v>
      </c>
      <c r="E77">
        <f t="shared" si="18"/>
        <v>178.49</v>
      </c>
      <c r="F77">
        <f t="shared" si="19"/>
        <v>178.49</v>
      </c>
      <c r="G77">
        <f t="shared" si="20"/>
        <v>178.49</v>
      </c>
      <c r="I77" s="3">
        <v>72</v>
      </c>
      <c r="J77" s="3" t="s">
        <v>157</v>
      </c>
      <c r="K77" s="21">
        <v>178.49</v>
      </c>
      <c r="L77" s="3">
        <f t="shared" si="15"/>
        <v>178.49</v>
      </c>
      <c r="M77" s="3">
        <f t="shared" si="16"/>
        <v>178.49</v>
      </c>
      <c r="N77" s="3">
        <f t="shared" si="17"/>
        <v>178.49</v>
      </c>
      <c r="O77" s="3"/>
      <c r="P77" s="3">
        <f t="shared" si="13"/>
        <v>0</v>
      </c>
      <c r="Q77" s="22">
        <f t="shared" si="14"/>
        <v>0</v>
      </c>
      <c r="R77" s="3"/>
      <c r="S77" s="3">
        <v>72</v>
      </c>
      <c r="T77" s="3" t="s">
        <v>157</v>
      </c>
      <c r="U77" s="3" t="s">
        <v>340</v>
      </c>
      <c r="V77" s="27">
        <v>13.31</v>
      </c>
      <c r="W77" s="3"/>
      <c r="X77" s="3"/>
      <c r="Y77" s="3"/>
      <c r="Z77" s="3"/>
    </row>
    <row r="78" spans="1:26" ht="16.5" x14ac:dyDescent="0.25">
      <c r="A78" s="17" t="s">
        <v>158</v>
      </c>
      <c r="B78" s="2" t="s">
        <v>159</v>
      </c>
      <c r="C78" s="2">
        <v>73</v>
      </c>
      <c r="D78" s="20">
        <v>180.94788</v>
      </c>
      <c r="E78">
        <f t="shared" si="18"/>
        <v>180.94788</v>
      </c>
      <c r="F78">
        <f t="shared" si="19"/>
        <v>180.94788</v>
      </c>
      <c r="G78">
        <f t="shared" si="20"/>
        <v>180.94788</v>
      </c>
      <c r="I78" s="3">
        <v>73</v>
      </c>
      <c r="J78" s="3" t="s">
        <v>159</v>
      </c>
      <c r="K78" s="21">
        <v>180.947</v>
      </c>
      <c r="L78" s="3">
        <f t="shared" si="15"/>
        <v>180.947</v>
      </c>
      <c r="M78" s="3">
        <f t="shared" si="16"/>
        <v>180.947</v>
      </c>
      <c r="N78" s="3">
        <f t="shared" si="17"/>
        <v>180.947</v>
      </c>
      <c r="O78" s="3"/>
      <c r="P78" s="3">
        <f t="shared" si="13"/>
        <v>8.7999999999510692E-4</v>
      </c>
      <c r="Q78" s="22">
        <f t="shared" si="14"/>
        <v>4.8633025139687692E-6</v>
      </c>
      <c r="R78" s="3"/>
      <c r="S78" s="3">
        <v>73</v>
      </c>
      <c r="T78" s="3" t="s">
        <v>159</v>
      </c>
      <c r="U78" s="3" t="s">
        <v>341</v>
      </c>
      <c r="V78" s="27">
        <v>16.649999999999999</v>
      </c>
      <c r="W78" s="3"/>
      <c r="X78" s="3"/>
      <c r="Y78" s="3"/>
      <c r="Z78" s="3"/>
    </row>
    <row r="79" spans="1:26" ht="16.5" x14ac:dyDescent="0.25">
      <c r="A79" s="17" t="s">
        <v>254</v>
      </c>
      <c r="B79" s="2" t="s">
        <v>160</v>
      </c>
      <c r="C79" s="2">
        <v>74</v>
      </c>
      <c r="D79" s="20">
        <v>183.84</v>
      </c>
      <c r="E79">
        <f t="shared" si="18"/>
        <v>183.84</v>
      </c>
      <c r="F79">
        <f t="shared" si="19"/>
        <v>183.84</v>
      </c>
      <c r="G79">
        <f t="shared" si="20"/>
        <v>183.84</v>
      </c>
      <c r="I79" s="3">
        <v>74</v>
      </c>
      <c r="J79" s="3" t="s">
        <v>160</v>
      </c>
      <c r="K79" s="21">
        <v>183.84</v>
      </c>
      <c r="L79" s="3">
        <f t="shared" si="15"/>
        <v>183.84</v>
      </c>
      <c r="M79" s="3">
        <f t="shared" si="16"/>
        <v>183.84</v>
      </c>
      <c r="N79" s="3">
        <f t="shared" si="17"/>
        <v>183.84</v>
      </c>
      <c r="O79" s="3"/>
      <c r="P79" s="3">
        <f t="shared" si="13"/>
        <v>0</v>
      </c>
      <c r="Q79" s="22">
        <f t="shared" si="14"/>
        <v>0</v>
      </c>
      <c r="R79" s="3"/>
      <c r="S79" s="3">
        <v>74</v>
      </c>
      <c r="T79" s="3" t="s">
        <v>160</v>
      </c>
      <c r="U79" s="3" t="s">
        <v>342</v>
      </c>
      <c r="V79" s="27">
        <v>19.3</v>
      </c>
      <c r="W79" s="3"/>
      <c r="X79" s="3"/>
      <c r="Y79" s="3"/>
      <c r="Z79" s="3"/>
    </row>
    <row r="80" spans="1:26" ht="16.5" x14ac:dyDescent="0.25">
      <c r="A80" s="17" t="s">
        <v>161</v>
      </c>
      <c r="B80" s="2" t="s">
        <v>162</v>
      </c>
      <c r="C80" s="2">
        <v>75</v>
      </c>
      <c r="D80" s="20">
        <v>186.20699999999999</v>
      </c>
      <c r="E80">
        <f t="shared" si="18"/>
        <v>186.20699999999999</v>
      </c>
      <c r="F80">
        <f t="shared" si="19"/>
        <v>186.20699999999999</v>
      </c>
      <c r="G80">
        <f t="shared" si="20"/>
        <v>186.20699999999999</v>
      </c>
      <c r="I80" s="3">
        <v>75</v>
      </c>
      <c r="J80" s="3" t="s">
        <v>162</v>
      </c>
      <c r="K80" s="21">
        <v>186.20699999999999</v>
      </c>
      <c r="L80" s="3">
        <f t="shared" si="15"/>
        <v>186.20699999999999</v>
      </c>
      <c r="M80" s="3">
        <f t="shared" si="16"/>
        <v>186.20699999999999</v>
      </c>
      <c r="N80" s="3">
        <f t="shared" si="17"/>
        <v>186.20699999999999</v>
      </c>
      <c r="O80" s="3"/>
      <c r="P80" s="3">
        <f t="shared" si="13"/>
        <v>0</v>
      </c>
      <c r="Q80" s="22">
        <f t="shared" si="14"/>
        <v>0</v>
      </c>
      <c r="R80" s="3"/>
      <c r="S80" s="3">
        <v>75</v>
      </c>
      <c r="T80" s="3" t="s">
        <v>162</v>
      </c>
      <c r="U80" s="3" t="s">
        <v>343</v>
      </c>
      <c r="V80" s="27">
        <v>21.02</v>
      </c>
      <c r="W80" s="3"/>
      <c r="X80" s="3"/>
      <c r="Y80" s="3"/>
      <c r="Z80" s="3"/>
    </row>
    <row r="81" spans="1:26" ht="16.5" x14ac:dyDescent="0.25">
      <c r="A81" s="17" t="s">
        <v>163</v>
      </c>
      <c r="B81" s="2" t="s">
        <v>164</v>
      </c>
      <c r="C81" s="2">
        <v>76</v>
      </c>
      <c r="D81" s="20">
        <v>190.23</v>
      </c>
      <c r="E81">
        <f t="shared" si="18"/>
        <v>190.23</v>
      </c>
      <c r="F81">
        <f t="shared" si="19"/>
        <v>190.23</v>
      </c>
      <c r="G81">
        <f t="shared" si="20"/>
        <v>190.23</v>
      </c>
      <c r="I81" s="3">
        <v>76</v>
      </c>
      <c r="J81" s="3" t="s">
        <v>164</v>
      </c>
      <c r="K81" s="21">
        <v>190.23</v>
      </c>
      <c r="L81" s="3">
        <f t="shared" si="15"/>
        <v>190.23</v>
      </c>
      <c r="M81" s="3">
        <f t="shared" si="16"/>
        <v>190.23</v>
      </c>
      <c r="N81" s="3">
        <f t="shared" si="17"/>
        <v>190.23</v>
      </c>
      <c r="O81" s="3"/>
      <c r="P81" s="3">
        <f t="shared" si="13"/>
        <v>0</v>
      </c>
      <c r="Q81" s="22">
        <f t="shared" si="14"/>
        <v>0</v>
      </c>
      <c r="R81" s="3"/>
      <c r="S81" s="3">
        <v>76</v>
      </c>
      <c r="T81" s="3" t="s">
        <v>164</v>
      </c>
      <c r="U81" s="3" t="s">
        <v>344</v>
      </c>
      <c r="V81" s="27">
        <v>22.57</v>
      </c>
      <c r="W81" s="3"/>
      <c r="X81" s="3"/>
      <c r="Y81" s="3"/>
      <c r="Z81" s="3"/>
    </row>
    <row r="82" spans="1:26" ht="16.5" x14ac:dyDescent="0.25">
      <c r="A82" s="17" t="s">
        <v>165</v>
      </c>
      <c r="B82" s="2" t="s">
        <v>166</v>
      </c>
      <c r="C82" s="2">
        <v>77</v>
      </c>
      <c r="D82" s="20">
        <v>192.21700000000001</v>
      </c>
      <c r="E82">
        <f t="shared" si="18"/>
        <v>192.21700000000001</v>
      </c>
      <c r="F82">
        <f t="shared" si="19"/>
        <v>192.21700000000001</v>
      </c>
      <c r="G82">
        <f t="shared" si="20"/>
        <v>192.21700000000001</v>
      </c>
      <c r="I82" s="3">
        <v>77</v>
      </c>
      <c r="J82" s="3" t="s">
        <v>166</v>
      </c>
      <c r="K82" s="21">
        <v>192.21700000000001</v>
      </c>
      <c r="L82" s="3">
        <f t="shared" si="15"/>
        <v>192.21700000000001</v>
      </c>
      <c r="M82" s="3">
        <f t="shared" si="16"/>
        <v>192.21700000000001</v>
      </c>
      <c r="N82" s="3">
        <f t="shared" si="17"/>
        <v>192.21700000000001</v>
      </c>
      <c r="O82" s="3"/>
      <c r="P82" s="3">
        <f t="shared" si="13"/>
        <v>0</v>
      </c>
      <c r="Q82" s="22">
        <f t="shared" si="14"/>
        <v>0</v>
      </c>
      <c r="R82" s="3"/>
      <c r="S82" s="3">
        <v>77</v>
      </c>
      <c r="T82" s="3" t="s">
        <v>166</v>
      </c>
      <c r="U82" s="3" t="s">
        <v>345</v>
      </c>
      <c r="V82" s="27">
        <v>22.42</v>
      </c>
      <c r="W82" s="3"/>
      <c r="X82" s="3"/>
      <c r="Y82" s="3"/>
      <c r="Z82" s="3"/>
    </row>
    <row r="83" spans="1:26" ht="16.5" x14ac:dyDescent="0.25">
      <c r="A83" s="17" t="s">
        <v>167</v>
      </c>
      <c r="B83" s="2" t="s">
        <v>168</v>
      </c>
      <c r="C83" s="2">
        <v>78</v>
      </c>
      <c r="D83" s="20">
        <v>195.084</v>
      </c>
      <c r="E83">
        <f t="shared" si="18"/>
        <v>195.084</v>
      </c>
      <c r="F83">
        <f t="shared" si="19"/>
        <v>195.084</v>
      </c>
      <c r="G83">
        <f t="shared" si="20"/>
        <v>195.084</v>
      </c>
      <c r="I83" s="3">
        <v>78</v>
      </c>
      <c r="J83" s="3" t="s">
        <v>168</v>
      </c>
      <c r="K83" s="21">
        <v>195.084</v>
      </c>
      <c r="L83" s="3">
        <f t="shared" si="15"/>
        <v>195.084</v>
      </c>
      <c r="M83" s="3">
        <f t="shared" si="16"/>
        <v>195.084</v>
      </c>
      <c r="N83" s="3">
        <f t="shared" si="17"/>
        <v>195.084</v>
      </c>
      <c r="O83" s="3"/>
      <c r="P83" s="3">
        <f t="shared" si="13"/>
        <v>0</v>
      </c>
      <c r="Q83" s="22">
        <f t="shared" si="14"/>
        <v>0</v>
      </c>
      <c r="R83" s="3"/>
      <c r="S83" s="3">
        <v>78</v>
      </c>
      <c r="T83" s="3" t="s">
        <v>168</v>
      </c>
      <c r="U83" s="3" t="s">
        <v>346</v>
      </c>
      <c r="V83" s="27">
        <v>21.45</v>
      </c>
      <c r="W83" s="3"/>
      <c r="X83" s="3"/>
      <c r="Y83" s="3"/>
      <c r="Z83" s="3"/>
    </row>
    <row r="84" spans="1:26" ht="16.5" x14ac:dyDescent="0.25">
      <c r="A84" s="17" t="s">
        <v>169</v>
      </c>
      <c r="B84" s="2" t="s">
        <v>170</v>
      </c>
      <c r="C84" s="2">
        <v>79</v>
      </c>
      <c r="D84" s="20">
        <v>196.96656899999999</v>
      </c>
      <c r="E84">
        <f t="shared" si="18"/>
        <v>196.96656899999999</v>
      </c>
      <c r="F84">
        <f t="shared" si="19"/>
        <v>196.96656899999999</v>
      </c>
      <c r="G84">
        <f t="shared" si="20"/>
        <v>196.96656899999999</v>
      </c>
      <c r="I84" s="3">
        <v>79</v>
      </c>
      <c r="J84" s="3" t="s">
        <v>170</v>
      </c>
      <c r="K84" s="21">
        <v>196.96600000000001</v>
      </c>
      <c r="L84" s="3">
        <f t="shared" si="15"/>
        <v>196.96600000000001</v>
      </c>
      <c r="M84" s="3">
        <f t="shared" si="16"/>
        <v>196.96600000000001</v>
      </c>
      <c r="N84" s="3">
        <f t="shared" si="17"/>
        <v>196.96600000000001</v>
      </c>
      <c r="O84" s="3"/>
      <c r="P84" s="3">
        <f t="shared" si="13"/>
        <v>5.6899999998449857E-4</v>
      </c>
      <c r="Q84" s="22">
        <f t="shared" si="14"/>
        <v>2.8888234516845473E-6</v>
      </c>
      <c r="R84" s="3"/>
      <c r="S84" s="3">
        <v>79</v>
      </c>
      <c r="T84" s="3" t="s">
        <v>170</v>
      </c>
      <c r="U84" s="3" t="s">
        <v>347</v>
      </c>
      <c r="V84" s="27">
        <v>19.32</v>
      </c>
      <c r="W84" s="3"/>
      <c r="X84" s="3"/>
      <c r="Y84" s="3"/>
      <c r="Z84" s="3"/>
    </row>
    <row r="85" spans="1:26" ht="16.5" x14ac:dyDescent="0.25">
      <c r="A85" s="17" t="s">
        <v>171</v>
      </c>
      <c r="B85" s="2" t="s">
        <v>172</v>
      </c>
      <c r="C85" s="2">
        <v>80</v>
      </c>
      <c r="D85" s="20">
        <v>200.59200000000001</v>
      </c>
      <c r="E85">
        <f t="shared" si="18"/>
        <v>200.59200000000001</v>
      </c>
      <c r="F85">
        <f t="shared" si="19"/>
        <v>200.59200000000001</v>
      </c>
      <c r="G85">
        <f t="shared" si="20"/>
        <v>200.59200000000001</v>
      </c>
      <c r="I85" s="3">
        <v>80</v>
      </c>
      <c r="J85" s="3" t="s">
        <v>172</v>
      </c>
      <c r="K85" s="21">
        <v>200.59200000000001</v>
      </c>
      <c r="L85" s="3">
        <f t="shared" si="15"/>
        <v>200.59200000000001</v>
      </c>
      <c r="M85" s="3">
        <f t="shared" si="16"/>
        <v>200.59200000000001</v>
      </c>
      <c r="N85" s="3">
        <f t="shared" si="17"/>
        <v>200.59200000000001</v>
      </c>
      <c r="O85" s="3"/>
      <c r="P85" s="3">
        <f t="shared" si="13"/>
        <v>0</v>
      </c>
      <c r="Q85" s="22">
        <f t="shared" si="14"/>
        <v>0</v>
      </c>
      <c r="R85" s="3"/>
      <c r="S85" s="3">
        <v>80</v>
      </c>
      <c r="T85" s="3" t="s">
        <v>172</v>
      </c>
      <c r="U85" s="3" t="s">
        <v>348</v>
      </c>
      <c r="V85" s="27">
        <v>13.55</v>
      </c>
      <c r="W85" s="3"/>
      <c r="X85" s="3"/>
      <c r="Y85" s="3"/>
      <c r="Z85" s="3"/>
    </row>
    <row r="86" spans="1:26" ht="16.5" x14ac:dyDescent="0.25">
      <c r="A86" s="17" t="s">
        <v>173</v>
      </c>
      <c r="B86" s="2" t="s">
        <v>174</v>
      </c>
      <c r="C86" s="2">
        <v>81</v>
      </c>
      <c r="D86" s="20" t="s">
        <v>175</v>
      </c>
      <c r="E86">
        <f t="shared" si="18"/>
        <v>204.38200000000001</v>
      </c>
      <c r="F86">
        <f t="shared" si="19"/>
        <v>204.38499999999999</v>
      </c>
      <c r="G86">
        <f t="shared" si="20"/>
        <v>204.3835</v>
      </c>
      <c r="I86" s="3">
        <v>81</v>
      </c>
      <c r="J86" s="3" t="s">
        <v>174</v>
      </c>
      <c r="K86" s="21" t="s">
        <v>175</v>
      </c>
      <c r="L86" s="3">
        <f t="shared" si="15"/>
        <v>204.38200000000001</v>
      </c>
      <c r="M86" s="3">
        <f t="shared" si="16"/>
        <v>204.38499999999999</v>
      </c>
      <c r="N86" s="3">
        <f t="shared" si="17"/>
        <v>204.3835</v>
      </c>
      <c r="O86" s="3"/>
      <c r="P86" s="3">
        <f t="shared" si="13"/>
        <v>0</v>
      </c>
      <c r="Q86" s="22">
        <f t="shared" si="14"/>
        <v>0</v>
      </c>
      <c r="R86" s="3"/>
      <c r="S86" s="3">
        <v>81</v>
      </c>
      <c r="T86" s="3" t="s">
        <v>174</v>
      </c>
      <c r="U86" s="3" t="s">
        <v>349</v>
      </c>
      <c r="V86" s="27">
        <v>11.72</v>
      </c>
      <c r="W86" s="3"/>
      <c r="X86" s="3"/>
      <c r="Y86" s="3"/>
      <c r="Z86" s="3"/>
    </row>
    <row r="87" spans="1:26" ht="16.5" x14ac:dyDescent="0.25">
      <c r="A87" s="17" t="s">
        <v>176</v>
      </c>
      <c r="B87" s="2" t="s">
        <v>177</v>
      </c>
      <c r="C87" s="2">
        <v>82</v>
      </c>
      <c r="D87" s="20">
        <v>207.2</v>
      </c>
      <c r="E87">
        <f t="shared" si="18"/>
        <v>207.2</v>
      </c>
      <c r="F87">
        <f t="shared" si="19"/>
        <v>207.2</v>
      </c>
      <c r="G87">
        <f t="shared" si="20"/>
        <v>207.2</v>
      </c>
      <c r="I87" s="3">
        <v>82</v>
      </c>
      <c r="J87" s="3" t="s">
        <v>177</v>
      </c>
      <c r="K87" s="21">
        <v>207.2</v>
      </c>
      <c r="L87" s="3">
        <f t="shared" si="15"/>
        <v>207.2</v>
      </c>
      <c r="M87" s="3">
        <f t="shared" si="16"/>
        <v>207.2</v>
      </c>
      <c r="N87" s="3">
        <f t="shared" si="17"/>
        <v>207.2</v>
      </c>
      <c r="O87" s="3"/>
      <c r="P87" s="3">
        <f t="shared" si="13"/>
        <v>0</v>
      </c>
      <c r="Q87" s="22">
        <f t="shared" si="14"/>
        <v>0</v>
      </c>
      <c r="R87" s="3"/>
      <c r="S87" s="3">
        <v>82</v>
      </c>
      <c r="T87" s="3" t="s">
        <v>177</v>
      </c>
      <c r="U87" s="3" t="s">
        <v>350</v>
      </c>
      <c r="V87" s="27">
        <v>11.35</v>
      </c>
      <c r="W87" s="3"/>
      <c r="X87" s="3"/>
      <c r="Y87" s="3"/>
      <c r="Z87" s="3"/>
    </row>
    <row r="88" spans="1:26" ht="16.5" x14ac:dyDescent="0.25">
      <c r="A88" s="17" t="s">
        <v>178</v>
      </c>
      <c r="B88" s="2" t="s">
        <v>179</v>
      </c>
      <c r="C88" s="2">
        <v>83</v>
      </c>
      <c r="D88" s="20">
        <v>208.9804</v>
      </c>
      <c r="E88">
        <f t="shared" si="18"/>
        <v>208.9804</v>
      </c>
      <c r="F88">
        <f t="shared" si="19"/>
        <v>208.9804</v>
      </c>
      <c r="G88">
        <f t="shared" si="20"/>
        <v>208.9804</v>
      </c>
      <c r="I88" s="3">
        <v>83</v>
      </c>
      <c r="J88" s="3" t="s">
        <v>179</v>
      </c>
      <c r="K88" s="21">
        <v>208.98</v>
      </c>
      <c r="L88" s="3">
        <f t="shared" si="15"/>
        <v>208.98</v>
      </c>
      <c r="M88" s="3">
        <f t="shared" si="16"/>
        <v>208.98</v>
      </c>
      <c r="N88" s="3">
        <f t="shared" si="17"/>
        <v>208.98</v>
      </c>
      <c r="O88" s="3"/>
      <c r="P88" s="3">
        <f t="shared" si="13"/>
        <v>4.0000000001327862E-4</v>
      </c>
      <c r="Q88" s="22">
        <f t="shared" si="14"/>
        <v>1.9140587616675215E-6</v>
      </c>
      <c r="R88" s="3"/>
      <c r="S88" s="3">
        <v>83</v>
      </c>
      <c r="T88" s="3" t="s">
        <v>179</v>
      </c>
      <c r="U88" s="3" t="s">
        <v>351</v>
      </c>
      <c r="V88" s="27">
        <v>9.7469999999999999</v>
      </c>
      <c r="W88" s="3"/>
      <c r="X88" s="3"/>
      <c r="Y88" s="3"/>
      <c r="Z88" s="3"/>
    </row>
    <row r="89" spans="1:26" ht="16.5" x14ac:dyDescent="0.25">
      <c r="A89" s="17" t="s">
        <v>180</v>
      </c>
      <c r="B89" s="2" t="s">
        <v>181</v>
      </c>
      <c r="C89" s="2">
        <v>84</v>
      </c>
      <c r="D89" s="20">
        <v>-209</v>
      </c>
      <c r="E89">
        <f t="shared" si="18"/>
        <v>-209</v>
      </c>
      <c r="F89">
        <f t="shared" si="19"/>
        <v>-209</v>
      </c>
      <c r="G89">
        <f t="shared" si="20"/>
        <v>-209</v>
      </c>
      <c r="I89" s="3">
        <v>84</v>
      </c>
      <c r="J89" s="3" t="s">
        <v>181</v>
      </c>
      <c r="K89" s="21" t="s">
        <v>366</v>
      </c>
      <c r="L89" s="3" t="e">
        <f t="shared" si="15"/>
        <v>#VALUE!</v>
      </c>
      <c r="M89" s="3" t="e">
        <f t="shared" si="16"/>
        <v>#VALUE!</v>
      </c>
      <c r="N89" s="3" t="e">
        <f t="shared" si="17"/>
        <v>#VALUE!</v>
      </c>
      <c r="O89" s="3"/>
      <c r="P89" s="3" t="e">
        <f t="shared" si="13"/>
        <v>#VALUE!</v>
      </c>
      <c r="Q89" s="22" t="e">
        <f t="shared" si="14"/>
        <v>#VALUE!</v>
      </c>
      <c r="R89" s="3"/>
      <c r="S89" s="3">
        <v>84</v>
      </c>
      <c r="T89" s="3" t="s">
        <v>181</v>
      </c>
      <c r="U89" s="3" t="s">
        <v>352</v>
      </c>
      <c r="V89" s="27">
        <v>9.32</v>
      </c>
      <c r="W89" s="3"/>
      <c r="X89" s="3"/>
      <c r="Y89" s="3"/>
      <c r="Z89" s="3"/>
    </row>
    <row r="90" spans="1:26" ht="16.5" x14ac:dyDescent="0.25">
      <c r="A90" s="17" t="s">
        <v>182</v>
      </c>
      <c r="B90" s="2" t="s">
        <v>183</v>
      </c>
      <c r="C90" s="2">
        <v>85</v>
      </c>
      <c r="D90" s="20">
        <v>-210</v>
      </c>
      <c r="E90">
        <f t="shared" si="18"/>
        <v>-210</v>
      </c>
      <c r="F90">
        <f t="shared" si="19"/>
        <v>-210</v>
      </c>
      <c r="G90">
        <f t="shared" si="20"/>
        <v>-210</v>
      </c>
      <c r="I90" s="3">
        <v>85</v>
      </c>
      <c r="J90" s="3" t="s">
        <v>183</v>
      </c>
      <c r="K90" s="21" t="s">
        <v>367</v>
      </c>
      <c r="L90" s="3" t="e">
        <f t="shared" si="15"/>
        <v>#VALUE!</v>
      </c>
      <c r="M90" s="3" t="e">
        <f t="shared" si="16"/>
        <v>#VALUE!</v>
      </c>
      <c r="N90" s="3" t="e">
        <f t="shared" si="17"/>
        <v>#VALUE!</v>
      </c>
      <c r="O90" s="3"/>
      <c r="P90" s="3" t="e">
        <f t="shared" si="13"/>
        <v>#VALUE!</v>
      </c>
      <c r="Q90" s="22" t="e">
        <f t="shared" si="14"/>
        <v>#VALUE!</v>
      </c>
      <c r="R90" s="3"/>
      <c r="S90" s="3">
        <v>85</v>
      </c>
      <c r="T90" s="3" t="s">
        <v>183</v>
      </c>
      <c r="U90" s="3" t="s">
        <v>353</v>
      </c>
      <c r="V90" s="27">
        <v>10</v>
      </c>
      <c r="W90" s="3"/>
      <c r="X90" s="3"/>
      <c r="Y90" s="3"/>
      <c r="Z90" s="3"/>
    </row>
    <row r="91" spans="1:26" ht="16.5" x14ac:dyDescent="0.25">
      <c r="A91" s="17" t="s">
        <v>184</v>
      </c>
      <c r="B91" s="2" t="s">
        <v>185</v>
      </c>
      <c r="C91" s="2">
        <v>86</v>
      </c>
      <c r="D91" s="20">
        <v>-222</v>
      </c>
      <c r="E91">
        <f t="shared" si="18"/>
        <v>-222</v>
      </c>
      <c r="F91">
        <f t="shared" si="19"/>
        <v>-222</v>
      </c>
      <c r="G91">
        <f t="shared" si="20"/>
        <v>-222</v>
      </c>
      <c r="I91" s="3">
        <v>86</v>
      </c>
      <c r="J91" s="3" t="s">
        <v>185</v>
      </c>
      <c r="K91" s="21" t="s">
        <v>368</v>
      </c>
      <c r="L91" s="3" t="e">
        <f t="shared" si="15"/>
        <v>#VALUE!</v>
      </c>
      <c r="M91" s="3" t="e">
        <f t="shared" si="16"/>
        <v>#VALUE!</v>
      </c>
      <c r="N91" s="3" t="e">
        <f t="shared" si="17"/>
        <v>#VALUE!</v>
      </c>
      <c r="O91" s="3"/>
      <c r="P91" s="3" t="e">
        <f t="shared" si="13"/>
        <v>#VALUE!</v>
      </c>
      <c r="Q91" s="22" t="e">
        <f t="shared" si="14"/>
        <v>#VALUE!</v>
      </c>
      <c r="R91" s="3"/>
      <c r="S91" s="3">
        <v>86</v>
      </c>
      <c r="T91" s="3" t="s">
        <v>185</v>
      </c>
      <c r="U91" s="3" t="s">
        <v>354</v>
      </c>
      <c r="V91" s="27">
        <v>9.0659999999999994E-3</v>
      </c>
      <c r="W91" s="3"/>
      <c r="X91" s="3"/>
      <c r="Y91" s="3"/>
      <c r="Z91" s="3"/>
    </row>
    <row r="92" spans="1:26" ht="16.5" x14ac:dyDescent="0.25">
      <c r="A92" s="17" t="s">
        <v>186</v>
      </c>
      <c r="B92" s="2" t="s">
        <v>187</v>
      </c>
      <c r="C92" s="2">
        <v>87</v>
      </c>
      <c r="D92" s="20">
        <v>-223</v>
      </c>
      <c r="E92">
        <f t="shared" si="18"/>
        <v>-223</v>
      </c>
      <c r="F92">
        <f t="shared" si="19"/>
        <v>-223</v>
      </c>
      <c r="G92">
        <f t="shared" si="20"/>
        <v>-223</v>
      </c>
      <c r="I92" s="3">
        <v>87</v>
      </c>
      <c r="J92" s="3" t="s">
        <v>187</v>
      </c>
      <c r="K92" s="21" t="s">
        <v>369</v>
      </c>
      <c r="L92" s="3" t="e">
        <f t="shared" si="15"/>
        <v>#VALUE!</v>
      </c>
      <c r="M92" s="3" t="e">
        <f t="shared" si="16"/>
        <v>#VALUE!</v>
      </c>
      <c r="N92" s="3" t="e">
        <f t="shared" si="17"/>
        <v>#VALUE!</v>
      </c>
      <c r="O92" s="3"/>
      <c r="P92" s="3" t="e">
        <f t="shared" si="13"/>
        <v>#VALUE!</v>
      </c>
      <c r="Q92" s="22" t="e">
        <f t="shared" si="14"/>
        <v>#VALUE!</v>
      </c>
      <c r="R92" s="3"/>
      <c r="S92" s="3">
        <v>87</v>
      </c>
      <c r="T92" s="3" t="s">
        <v>187</v>
      </c>
      <c r="U92" s="3" t="s">
        <v>355</v>
      </c>
      <c r="V92" s="27">
        <v>10</v>
      </c>
      <c r="W92" s="3"/>
      <c r="X92" s="3"/>
      <c r="Y92" s="3"/>
      <c r="Z92" s="3"/>
    </row>
    <row r="93" spans="1:26" ht="16.5" x14ac:dyDescent="0.25">
      <c r="A93" s="17" t="s">
        <v>188</v>
      </c>
      <c r="B93" s="2" t="s">
        <v>189</v>
      </c>
      <c r="C93" s="2">
        <v>88</v>
      </c>
      <c r="D93" s="20">
        <v>-226</v>
      </c>
      <c r="E93">
        <f t="shared" si="18"/>
        <v>-226</v>
      </c>
      <c r="F93">
        <f t="shared" si="19"/>
        <v>-226</v>
      </c>
      <c r="G93">
        <f t="shared" si="20"/>
        <v>-226</v>
      </c>
      <c r="I93" s="3">
        <v>88</v>
      </c>
      <c r="J93" s="3" t="s">
        <v>189</v>
      </c>
      <c r="K93" s="21" t="s">
        <v>370</v>
      </c>
      <c r="L93" s="3" t="e">
        <f t="shared" si="15"/>
        <v>#VALUE!</v>
      </c>
      <c r="M93" s="3" t="e">
        <f t="shared" si="16"/>
        <v>#VALUE!</v>
      </c>
      <c r="N93" s="3" t="e">
        <f t="shared" si="17"/>
        <v>#VALUE!</v>
      </c>
      <c r="O93" s="3"/>
      <c r="P93" s="3" t="e">
        <f t="shared" si="13"/>
        <v>#VALUE!</v>
      </c>
      <c r="Q93" s="22" t="e">
        <f t="shared" si="14"/>
        <v>#VALUE!</v>
      </c>
      <c r="R93" s="3"/>
      <c r="S93" s="3">
        <v>88</v>
      </c>
      <c r="T93" s="3" t="s">
        <v>189</v>
      </c>
      <c r="U93" s="3" t="s">
        <v>356</v>
      </c>
      <c r="V93" s="27">
        <v>5</v>
      </c>
      <c r="W93" s="3"/>
      <c r="X93" s="3"/>
      <c r="Y93" s="3"/>
      <c r="Z93" s="3"/>
    </row>
    <row r="94" spans="1:26" ht="16.5" x14ac:dyDescent="0.25">
      <c r="A94" s="17" t="s">
        <v>190</v>
      </c>
      <c r="B94" s="2" t="s">
        <v>191</v>
      </c>
      <c r="C94" s="2">
        <v>89</v>
      </c>
      <c r="D94" s="20">
        <v>-227</v>
      </c>
      <c r="E94">
        <f t="shared" si="18"/>
        <v>-227</v>
      </c>
      <c r="F94">
        <f t="shared" si="19"/>
        <v>-227</v>
      </c>
      <c r="G94">
        <f t="shared" si="20"/>
        <v>-227</v>
      </c>
      <c r="I94" s="3">
        <v>89</v>
      </c>
      <c r="J94" s="3" t="s">
        <v>191</v>
      </c>
      <c r="K94" s="21" t="s">
        <v>371</v>
      </c>
      <c r="L94" s="3" t="e">
        <f t="shared" si="15"/>
        <v>#VALUE!</v>
      </c>
      <c r="M94" s="3" t="e">
        <f t="shared" si="16"/>
        <v>#VALUE!</v>
      </c>
      <c r="N94" s="3" t="e">
        <f t="shared" si="17"/>
        <v>#VALUE!</v>
      </c>
      <c r="O94" s="3"/>
      <c r="P94" s="3" t="e">
        <f t="shared" si="13"/>
        <v>#VALUE!</v>
      </c>
      <c r="Q94" s="22" t="e">
        <f t="shared" si="14"/>
        <v>#VALUE!</v>
      </c>
      <c r="R94" s="3"/>
      <c r="S94" s="3">
        <v>89</v>
      </c>
      <c r="T94" s="3" t="s">
        <v>191</v>
      </c>
      <c r="U94" s="3" t="s">
        <v>357</v>
      </c>
      <c r="V94" s="27">
        <v>10.07</v>
      </c>
      <c r="W94" s="3"/>
      <c r="X94" s="3"/>
      <c r="Y94" s="3"/>
      <c r="Z94" s="3"/>
    </row>
    <row r="95" spans="1:26" ht="16.5" x14ac:dyDescent="0.25">
      <c r="A95" s="17" t="s">
        <v>192</v>
      </c>
      <c r="B95" s="2" t="s">
        <v>193</v>
      </c>
      <c r="C95" s="2">
        <v>90</v>
      </c>
      <c r="D95" s="20">
        <v>232.0377</v>
      </c>
      <c r="E95">
        <f t="shared" si="18"/>
        <v>232.0377</v>
      </c>
      <c r="F95">
        <f t="shared" si="19"/>
        <v>232.0377</v>
      </c>
      <c r="G95">
        <f t="shared" si="20"/>
        <v>232.0377</v>
      </c>
      <c r="I95" s="3">
        <v>90</v>
      </c>
      <c r="J95" s="3" t="s">
        <v>193</v>
      </c>
      <c r="K95" s="21"/>
      <c r="L95" s="3">
        <f t="shared" si="15"/>
        <v>0</v>
      </c>
      <c r="M95" s="3">
        <f t="shared" si="16"/>
        <v>0</v>
      </c>
      <c r="N95" s="3">
        <f t="shared" si="17"/>
        <v>0</v>
      </c>
      <c r="O95" s="3"/>
      <c r="P95" s="3">
        <f t="shared" si="13"/>
        <v>232.0377</v>
      </c>
      <c r="Q95" s="22" t="e">
        <f t="shared" si="14"/>
        <v>#DIV/0!</v>
      </c>
      <c r="R95" s="3"/>
      <c r="S95" s="3">
        <v>90</v>
      </c>
      <c r="T95" s="3" t="s">
        <v>193</v>
      </c>
      <c r="U95" s="3" t="s">
        <v>358</v>
      </c>
      <c r="V95" s="27">
        <v>11.72</v>
      </c>
      <c r="W95" s="3"/>
      <c r="X95" s="3"/>
      <c r="Y95" s="3"/>
      <c r="Z95" s="3"/>
    </row>
    <row r="96" spans="1:26" ht="16.5" x14ac:dyDescent="0.25">
      <c r="A96" s="17" t="s">
        <v>194</v>
      </c>
      <c r="B96" s="2" t="s">
        <v>195</v>
      </c>
      <c r="C96" s="2">
        <v>91</v>
      </c>
      <c r="D96" s="20">
        <v>231.03587999999999</v>
      </c>
      <c r="E96">
        <f t="shared" si="18"/>
        <v>231.03587999999999</v>
      </c>
      <c r="F96">
        <f t="shared" si="19"/>
        <v>231.03587999999999</v>
      </c>
      <c r="G96">
        <f t="shared" si="20"/>
        <v>231.03587999999999</v>
      </c>
      <c r="I96" s="3">
        <v>91</v>
      </c>
      <c r="J96" s="3" t="s">
        <v>195</v>
      </c>
      <c r="K96" s="21">
        <v>231.035</v>
      </c>
      <c r="L96" s="3">
        <f t="shared" si="15"/>
        <v>231.035</v>
      </c>
      <c r="M96" s="3">
        <f t="shared" si="16"/>
        <v>231.035</v>
      </c>
      <c r="N96" s="3">
        <f t="shared" si="17"/>
        <v>231.035</v>
      </c>
      <c r="O96" s="3"/>
      <c r="P96" s="3">
        <f t="shared" si="13"/>
        <v>8.7999999999510692E-4</v>
      </c>
      <c r="Q96" s="22">
        <f t="shared" si="14"/>
        <v>3.8089466963668145E-6</v>
      </c>
      <c r="R96" s="3"/>
      <c r="S96" s="3">
        <v>91</v>
      </c>
      <c r="T96" s="3" t="s">
        <v>195</v>
      </c>
      <c r="U96" s="3" t="s">
        <v>359</v>
      </c>
      <c r="V96" s="27">
        <v>15.37</v>
      </c>
      <c r="W96" s="3"/>
      <c r="X96" s="3"/>
      <c r="Y96" s="3"/>
      <c r="Z96" s="3"/>
    </row>
    <row r="97" spans="1:26" ht="16.5" x14ac:dyDescent="0.25">
      <c r="A97" s="17" t="s">
        <v>196</v>
      </c>
      <c r="B97" s="2" t="s">
        <v>197</v>
      </c>
      <c r="C97" s="2">
        <v>92</v>
      </c>
      <c r="D97" s="20">
        <v>238.02891</v>
      </c>
      <c r="E97">
        <f t="shared" si="18"/>
        <v>238.02891</v>
      </c>
      <c r="F97">
        <f t="shared" si="19"/>
        <v>238.02891</v>
      </c>
      <c r="G97">
        <f t="shared" si="20"/>
        <v>238.02891</v>
      </c>
      <c r="I97" s="3">
        <v>92</v>
      </c>
      <c r="J97" s="3" t="s">
        <v>197</v>
      </c>
      <c r="K97" s="21"/>
      <c r="L97" s="3">
        <f t="shared" si="15"/>
        <v>0</v>
      </c>
      <c r="M97" s="3">
        <f t="shared" si="16"/>
        <v>0</v>
      </c>
      <c r="N97" s="3">
        <f t="shared" si="17"/>
        <v>0</v>
      </c>
      <c r="O97" s="3"/>
      <c r="P97" s="3">
        <f t="shared" si="13"/>
        <v>238.02891</v>
      </c>
      <c r="Q97" s="22" t="e">
        <f t="shared" si="14"/>
        <v>#DIV/0!</v>
      </c>
      <c r="R97" s="3"/>
      <c r="S97" s="3">
        <v>92</v>
      </c>
      <c r="T97" s="3" t="s">
        <v>197</v>
      </c>
      <c r="U97" s="3" t="s">
        <v>360</v>
      </c>
      <c r="V97" s="27">
        <v>18.95</v>
      </c>
      <c r="W97" s="3"/>
      <c r="X97" s="3"/>
      <c r="Y97" s="3"/>
      <c r="Z97" s="3"/>
    </row>
    <row r="98" spans="1:26" ht="16.5" x14ac:dyDescent="0.25">
      <c r="A98" s="17" t="s">
        <v>198</v>
      </c>
      <c r="B98" s="2" t="s">
        <v>199</v>
      </c>
      <c r="C98" s="2">
        <v>93</v>
      </c>
      <c r="D98" s="20">
        <v>-237</v>
      </c>
      <c r="E98">
        <f t="shared" si="18"/>
        <v>-237</v>
      </c>
      <c r="F98">
        <f t="shared" si="19"/>
        <v>-237</v>
      </c>
      <c r="G98">
        <f t="shared" si="20"/>
        <v>-237</v>
      </c>
      <c r="I98" s="3">
        <v>93</v>
      </c>
      <c r="J98" s="3" t="s">
        <v>199</v>
      </c>
      <c r="K98" s="21" t="s">
        <v>372</v>
      </c>
      <c r="L98" s="3" t="e">
        <f t="shared" si="15"/>
        <v>#VALUE!</v>
      </c>
      <c r="M98" s="3" t="e">
        <f t="shared" si="16"/>
        <v>#VALUE!</v>
      </c>
      <c r="N98" s="3" t="e">
        <f t="shared" si="17"/>
        <v>#VALUE!</v>
      </c>
      <c r="P98" s="3" t="e">
        <f t="shared" si="13"/>
        <v>#VALUE!</v>
      </c>
      <c r="Q98" s="22" t="e">
        <f t="shared" si="14"/>
        <v>#VALUE!</v>
      </c>
    </row>
    <row r="99" spans="1:26" ht="16.5" x14ac:dyDescent="0.25">
      <c r="A99" s="17" t="s">
        <v>200</v>
      </c>
      <c r="B99" s="2" t="s">
        <v>201</v>
      </c>
      <c r="C99" s="2">
        <v>94</v>
      </c>
      <c r="D99" s="20">
        <v>-244</v>
      </c>
      <c r="E99">
        <f t="shared" si="18"/>
        <v>-244</v>
      </c>
      <c r="F99">
        <f t="shared" si="19"/>
        <v>-244</v>
      </c>
      <c r="G99">
        <f t="shared" si="20"/>
        <v>-244</v>
      </c>
      <c r="I99" s="3">
        <v>94</v>
      </c>
      <c r="J99" s="3" t="s">
        <v>201</v>
      </c>
      <c r="K99" s="21" t="s">
        <v>373</v>
      </c>
      <c r="L99" s="3" t="e">
        <f t="shared" si="15"/>
        <v>#VALUE!</v>
      </c>
      <c r="M99" s="3" t="e">
        <f t="shared" si="16"/>
        <v>#VALUE!</v>
      </c>
      <c r="N99" s="3" t="e">
        <f t="shared" si="17"/>
        <v>#VALUE!</v>
      </c>
      <c r="P99" s="3" t="e">
        <f t="shared" si="13"/>
        <v>#VALUE!</v>
      </c>
      <c r="Q99" s="22" t="e">
        <f t="shared" si="14"/>
        <v>#VALUE!</v>
      </c>
    </row>
    <row r="100" spans="1:26" ht="16.5" x14ac:dyDescent="0.25">
      <c r="A100" s="17" t="s">
        <v>202</v>
      </c>
      <c r="B100" s="2" t="s">
        <v>203</v>
      </c>
      <c r="C100" s="2">
        <v>95</v>
      </c>
      <c r="D100" s="20">
        <v>-243</v>
      </c>
      <c r="E100">
        <f t="shared" si="18"/>
        <v>-243</v>
      </c>
      <c r="F100">
        <f t="shared" si="19"/>
        <v>-243</v>
      </c>
      <c r="G100">
        <f t="shared" si="20"/>
        <v>-243</v>
      </c>
      <c r="Q100" s="3"/>
    </row>
    <row r="101" spans="1:26" ht="16.5" x14ac:dyDescent="0.25">
      <c r="A101" s="17" t="s">
        <v>204</v>
      </c>
      <c r="B101" s="2" t="s">
        <v>205</v>
      </c>
      <c r="C101" s="2">
        <v>96</v>
      </c>
      <c r="D101" s="20">
        <v>-247</v>
      </c>
      <c r="E101">
        <f t="shared" si="18"/>
        <v>-247</v>
      </c>
      <c r="F101">
        <f t="shared" si="19"/>
        <v>-247</v>
      </c>
      <c r="G101">
        <f t="shared" si="20"/>
        <v>-247</v>
      </c>
      <c r="Q101" s="3"/>
    </row>
    <row r="102" spans="1:26" ht="16.5" x14ac:dyDescent="0.25">
      <c r="A102" s="17" t="s">
        <v>206</v>
      </c>
      <c r="B102" s="2" t="s">
        <v>207</v>
      </c>
      <c r="C102" s="2">
        <v>97</v>
      </c>
      <c r="D102" s="20">
        <v>-247</v>
      </c>
      <c r="E102">
        <f t="shared" si="18"/>
        <v>-247</v>
      </c>
      <c r="F102">
        <f t="shared" si="19"/>
        <v>-247</v>
      </c>
      <c r="G102">
        <f t="shared" si="20"/>
        <v>-247</v>
      </c>
      <c r="Q102" s="3"/>
    </row>
    <row r="103" spans="1:26" ht="16.5" x14ac:dyDescent="0.25">
      <c r="A103" s="17" t="s">
        <v>208</v>
      </c>
      <c r="B103" s="2" t="s">
        <v>209</v>
      </c>
      <c r="C103" s="2">
        <v>98</v>
      </c>
      <c r="D103" s="20">
        <v>-251</v>
      </c>
      <c r="E103">
        <f t="shared" si="18"/>
        <v>-251</v>
      </c>
      <c r="F103">
        <f t="shared" si="19"/>
        <v>-251</v>
      </c>
      <c r="G103">
        <f t="shared" si="20"/>
        <v>-251</v>
      </c>
      <c r="Q103" s="3"/>
    </row>
    <row r="104" spans="1:26" ht="16.5" x14ac:dyDescent="0.25">
      <c r="A104" s="17" t="s">
        <v>210</v>
      </c>
      <c r="B104" s="2" t="s">
        <v>211</v>
      </c>
      <c r="C104" s="2">
        <v>99</v>
      </c>
      <c r="D104" s="20">
        <v>-252</v>
      </c>
      <c r="E104">
        <f t="shared" si="18"/>
        <v>-252</v>
      </c>
      <c r="F104">
        <f t="shared" si="19"/>
        <v>-252</v>
      </c>
      <c r="G104">
        <f t="shared" si="20"/>
        <v>-252</v>
      </c>
      <c r="Q104" s="3"/>
    </row>
    <row r="105" spans="1:26" ht="16.5" x14ac:dyDescent="0.25">
      <c r="A105" s="17" t="s">
        <v>212</v>
      </c>
      <c r="B105" s="2" t="s">
        <v>213</v>
      </c>
      <c r="C105" s="2">
        <v>100</v>
      </c>
      <c r="D105" s="20">
        <v>-257</v>
      </c>
      <c r="E105">
        <f t="shared" si="18"/>
        <v>-257</v>
      </c>
      <c r="F105">
        <f t="shared" si="19"/>
        <v>-257</v>
      </c>
      <c r="G105">
        <f t="shared" si="20"/>
        <v>-257</v>
      </c>
      <c r="Q105" s="3"/>
    </row>
    <row r="106" spans="1:26" ht="16.5" x14ac:dyDescent="0.25">
      <c r="A106" s="17" t="s">
        <v>214</v>
      </c>
      <c r="B106" s="2" t="s">
        <v>215</v>
      </c>
      <c r="C106" s="2">
        <v>101</v>
      </c>
      <c r="D106" s="20">
        <v>-258</v>
      </c>
      <c r="E106">
        <f t="shared" si="18"/>
        <v>-258</v>
      </c>
      <c r="F106">
        <f t="shared" si="19"/>
        <v>-258</v>
      </c>
      <c r="G106">
        <f t="shared" si="20"/>
        <v>-258</v>
      </c>
      <c r="Q106" s="3"/>
    </row>
    <row r="107" spans="1:26" ht="16.5" x14ac:dyDescent="0.25">
      <c r="A107" s="17" t="s">
        <v>216</v>
      </c>
      <c r="B107" s="2" t="s">
        <v>217</v>
      </c>
      <c r="C107" s="2">
        <v>102</v>
      </c>
      <c r="D107" s="20">
        <v>-259</v>
      </c>
      <c r="E107">
        <f t="shared" si="18"/>
        <v>-259</v>
      </c>
      <c r="F107">
        <f t="shared" si="19"/>
        <v>-259</v>
      </c>
      <c r="G107">
        <f t="shared" si="20"/>
        <v>-259</v>
      </c>
      <c r="Q107" s="3"/>
    </row>
    <row r="108" spans="1:26" ht="16.5" x14ac:dyDescent="0.25">
      <c r="A108" s="17" t="s">
        <v>218</v>
      </c>
      <c r="B108" s="2" t="s">
        <v>219</v>
      </c>
      <c r="C108" s="2">
        <v>103</v>
      </c>
      <c r="D108" s="20">
        <v>-262</v>
      </c>
      <c r="E108">
        <f t="shared" si="18"/>
        <v>-262</v>
      </c>
      <c r="F108">
        <f t="shared" si="19"/>
        <v>-262</v>
      </c>
      <c r="G108">
        <f t="shared" si="20"/>
        <v>-262</v>
      </c>
      <c r="Q108" s="3"/>
    </row>
    <row r="109" spans="1:26" ht="16.5" x14ac:dyDescent="0.25">
      <c r="A109" s="17" t="s">
        <v>220</v>
      </c>
      <c r="B109" s="2" t="s">
        <v>221</v>
      </c>
      <c r="C109" s="2">
        <v>104</v>
      </c>
      <c r="D109" s="20">
        <v>-263</v>
      </c>
      <c r="E109">
        <f t="shared" si="18"/>
        <v>-263</v>
      </c>
      <c r="F109">
        <f t="shared" si="19"/>
        <v>-263</v>
      </c>
      <c r="G109">
        <f t="shared" si="20"/>
        <v>-263</v>
      </c>
      <c r="Q109" s="3"/>
    </row>
    <row r="110" spans="1:26" ht="16.5" x14ac:dyDescent="0.25">
      <c r="A110" s="17" t="s">
        <v>222</v>
      </c>
      <c r="B110" s="2" t="s">
        <v>223</v>
      </c>
      <c r="C110" s="2">
        <v>105</v>
      </c>
      <c r="D110" s="20">
        <v>-268</v>
      </c>
      <c r="E110">
        <f t="shared" si="18"/>
        <v>-268</v>
      </c>
      <c r="F110">
        <f t="shared" si="19"/>
        <v>-268</v>
      </c>
      <c r="G110">
        <f t="shared" si="20"/>
        <v>-268</v>
      </c>
      <c r="Q110" s="3"/>
    </row>
    <row r="111" spans="1:26" ht="16.5" x14ac:dyDescent="0.25">
      <c r="A111" s="17" t="s">
        <v>224</v>
      </c>
      <c r="B111" s="2" t="s">
        <v>225</v>
      </c>
      <c r="C111" s="2">
        <v>106</v>
      </c>
      <c r="D111" s="20">
        <v>-271</v>
      </c>
      <c r="E111">
        <f t="shared" si="18"/>
        <v>-271</v>
      </c>
      <c r="F111">
        <f t="shared" si="19"/>
        <v>-271</v>
      </c>
      <c r="G111">
        <f t="shared" si="20"/>
        <v>-271</v>
      </c>
      <c r="Q111" s="3"/>
    </row>
    <row r="112" spans="1:26" ht="16.5" x14ac:dyDescent="0.25">
      <c r="A112" s="17" t="s">
        <v>226</v>
      </c>
      <c r="B112" s="2" t="s">
        <v>227</v>
      </c>
      <c r="C112" s="2">
        <v>107</v>
      </c>
      <c r="D112" s="20">
        <v>-270</v>
      </c>
      <c r="E112">
        <f t="shared" si="18"/>
        <v>-270</v>
      </c>
      <c r="F112">
        <f t="shared" si="19"/>
        <v>-270</v>
      </c>
      <c r="G112">
        <f t="shared" si="20"/>
        <v>-270</v>
      </c>
      <c r="Q112" s="3"/>
    </row>
    <row r="113" spans="1:17" ht="16.5" x14ac:dyDescent="0.25">
      <c r="A113" s="17" t="s">
        <v>228</v>
      </c>
      <c r="B113" s="2" t="s">
        <v>229</v>
      </c>
      <c r="C113" s="2">
        <v>108</v>
      </c>
      <c r="D113" s="20">
        <v>-270</v>
      </c>
      <c r="E113">
        <f t="shared" si="18"/>
        <v>-270</v>
      </c>
      <c r="F113">
        <f t="shared" si="19"/>
        <v>-270</v>
      </c>
      <c r="G113">
        <f t="shared" si="20"/>
        <v>-270</v>
      </c>
      <c r="Q113" s="3"/>
    </row>
    <row r="114" spans="1:17" ht="16.5" x14ac:dyDescent="0.25">
      <c r="A114" s="17" t="s">
        <v>230</v>
      </c>
      <c r="B114" s="2" t="s">
        <v>231</v>
      </c>
      <c r="C114" s="2">
        <v>109</v>
      </c>
      <c r="D114" s="20">
        <v>-278</v>
      </c>
      <c r="E114">
        <f t="shared" si="18"/>
        <v>-278</v>
      </c>
      <c r="F114">
        <f t="shared" si="19"/>
        <v>-278</v>
      </c>
      <c r="G114">
        <f t="shared" si="20"/>
        <v>-278</v>
      </c>
      <c r="Q114" s="3"/>
    </row>
    <row r="115" spans="1:17" ht="16.5" x14ac:dyDescent="0.25">
      <c r="A115" s="17" t="s">
        <v>232</v>
      </c>
      <c r="B115" s="2" t="s">
        <v>233</v>
      </c>
      <c r="C115" s="2">
        <v>110</v>
      </c>
      <c r="D115" s="20">
        <v>-281</v>
      </c>
      <c r="E115">
        <f t="shared" si="18"/>
        <v>-281</v>
      </c>
      <c r="F115">
        <f t="shared" si="19"/>
        <v>-281</v>
      </c>
      <c r="G115">
        <f t="shared" si="20"/>
        <v>-281</v>
      </c>
      <c r="Q115" s="3"/>
    </row>
    <row r="116" spans="1:17" ht="16.5" x14ac:dyDescent="0.25">
      <c r="A116" s="17" t="s">
        <v>234</v>
      </c>
      <c r="B116" s="2" t="s">
        <v>235</v>
      </c>
      <c r="C116" s="2">
        <v>111</v>
      </c>
      <c r="D116" s="20">
        <v>-281</v>
      </c>
      <c r="E116">
        <f t="shared" si="18"/>
        <v>-281</v>
      </c>
      <c r="F116">
        <f t="shared" si="19"/>
        <v>-281</v>
      </c>
      <c r="G116">
        <f t="shared" si="20"/>
        <v>-281</v>
      </c>
      <c r="Q116" s="3"/>
    </row>
    <row r="117" spans="1:17" ht="16.5" x14ac:dyDescent="0.25">
      <c r="A117" s="17" t="s">
        <v>236</v>
      </c>
      <c r="B117" s="2" t="s">
        <v>237</v>
      </c>
      <c r="C117" s="2">
        <v>112</v>
      </c>
      <c r="D117" s="20">
        <v>-285</v>
      </c>
      <c r="E117">
        <f t="shared" si="18"/>
        <v>-285</v>
      </c>
      <c r="F117">
        <f t="shared" si="19"/>
        <v>-285</v>
      </c>
      <c r="G117">
        <f t="shared" si="20"/>
        <v>-285</v>
      </c>
      <c r="Q117" s="3"/>
    </row>
    <row r="118" spans="1:17" ht="16.5" x14ac:dyDescent="0.25">
      <c r="A118" s="17" t="s">
        <v>238</v>
      </c>
      <c r="B118" s="2" t="s">
        <v>239</v>
      </c>
      <c r="C118" s="2">
        <v>113</v>
      </c>
      <c r="D118" s="20">
        <v>-286</v>
      </c>
      <c r="E118">
        <f t="shared" si="18"/>
        <v>-286</v>
      </c>
      <c r="F118">
        <f t="shared" si="19"/>
        <v>-286</v>
      </c>
      <c r="G118">
        <f t="shared" si="20"/>
        <v>-286</v>
      </c>
      <c r="Q118" s="3"/>
    </row>
    <row r="119" spans="1:17" ht="16.5" x14ac:dyDescent="0.25">
      <c r="A119" s="17" t="s">
        <v>240</v>
      </c>
      <c r="B119" s="2" t="s">
        <v>241</v>
      </c>
      <c r="C119" s="2">
        <v>114</v>
      </c>
      <c r="D119" s="20">
        <v>-289</v>
      </c>
      <c r="E119">
        <f t="shared" si="18"/>
        <v>-289</v>
      </c>
      <c r="F119">
        <f t="shared" si="19"/>
        <v>-289</v>
      </c>
      <c r="G119">
        <f t="shared" si="20"/>
        <v>-289</v>
      </c>
      <c r="Q119" s="3"/>
    </row>
    <row r="120" spans="1:17" ht="16.5" x14ac:dyDescent="0.25">
      <c r="A120" s="17" t="s">
        <v>242</v>
      </c>
      <c r="B120" s="2" t="s">
        <v>243</v>
      </c>
      <c r="C120" s="2">
        <v>115</v>
      </c>
      <c r="D120" s="20">
        <v>-289</v>
      </c>
      <c r="E120">
        <f t="shared" si="18"/>
        <v>-289</v>
      </c>
      <c r="F120">
        <f t="shared" si="19"/>
        <v>-289</v>
      </c>
      <c r="G120">
        <f t="shared" si="20"/>
        <v>-289</v>
      </c>
      <c r="Q120" s="3"/>
    </row>
    <row r="121" spans="1:17" ht="16.5" x14ac:dyDescent="0.25">
      <c r="A121" s="17" t="s">
        <v>244</v>
      </c>
      <c r="B121" s="2" t="s">
        <v>245</v>
      </c>
      <c r="C121" s="2">
        <v>116</v>
      </c>
      <c r="D121" s="20">
        <v>-293</v>
      </c>
      <c r="E121">
        <f t="shared" si="18"/>
        <v>-293</v>
      </c>
      <c r="F121">
        <f t="shared" si="19"/>
        <v>-293</v>
      </c>
      <c r="G121">
        <f t="shared" si="20"/>
        <v>-293</v>
      </c>
      <c r="Q121" s="3"/>
    </row>
    <row r="122" spans="1:17" ht="16.5" x14ac:dyDescent="0.25">
      <c r="A122" s="17" t="s">
        <v>246</v>
      </c>
      <c r="B122" s="2" t="s">
        <v>247</v>
      </c>
      <c r="C122" s="2">
        <v>117</v>
      </c>
      <c r="D122" s="20">
        <v>-294</v>
      </c>
      <c r="E122">
        <f t="shared" si="18"/>
        <v>-294</v>
      </c>
      <c r="F122">
        <f t="shared" si="19"/>
        <v>-294</v>
      </c>
      <c r="G122">
        <f t="shared" si="20"/>
        <v>-294</v>
      </c>
      <c r="Q122" s="3"/>
    </row>
    <row r="123" spans="1:17" ht="16.5" x14ac:dyDescent="0.25">
      <c r="A123" s="17" t="s">
        <v>248</v>
      </c>
      <c r="B123" s="2" t="s">
        <v>249</v>
      </c>
      <c r="C123" s="2">
        <v>118</v>
      </c>
      <c r="D123" s="20">
        <v>-294</v>
      </c>
      <c r="E123">
        <f t="shared" si="18"/>
        <v>-294</v>
      </c>
      <c r="F123">
        <f t="shared" si="19"/>
        <v>-294</v>
      </c>
      <c r="G123">
        <f t="shared" si="20"/>
        <v>-294</v>
      </c>
      <c r="Q123" s="3"/>
    </row>
  </sheetData>
  <mergeCells count="7">
    <mergeCell ref="P1:Q4"/>
    <mergeCell ref="S1:V4"/>
    <mergeCell ref="I1:N4"/>
    <mergeCell ref="A1:G1"/>
    <mergeCell ref="A2:G2"/>
    <mergeCell ref="A3:G3"/>
    <mergeCell ref="A4:G4"/>
  </mergeCells>
  <hyperlinks>
    <hyperlink ref="A1" r:id="rId1" xr:uid="{30E2376C-5A33-46E4-9B27-ECA34C9E9925}"/>
    <hyperlink ref="I1" r:id="rId2" xr:uid="{BAF34787-33E2-478D-8D88-7CE6E0D2B9E1}"/>
    <hyperlink ref="S1" r:id="rId3" xr:uid="{BB197833-EA83-4B69-B114-71A5966339E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Enter a formula</vt:lpstr>
      <vt:lpstr>Enter mass fractions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FitzGerald</dc:creator>
  <cp:lastModifiedBy>Paul FitzGerald</cp:lastModifiedBy>
  <dcterms:created xsi:type="dcterms:W3CDTF">2022-01-04T15:02:58Z</dcterms:created>
  <dcterms:modified xsi:type="dcterms:W3CDTF">2022-01-20T22:46:55Z</dcterms:modified>
</cp:coreProperties>
</file>