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drawings/drawing2.xml" ContentType="application/vnd.openxmlformats-officedocument.drawing+xml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mygulu\ArcPyTool\SZCoordinateTool\"/>
    </mc:Choice>
  </mc:AlternateContent>
  <bookViews>
    <workbookView xWindow="240" yWindow="120" windowWidth="14940" windowHeight="9225" activeTab="1"/>
  </bookViews>
  <sheets>
    <sheet name="深圳转WGS—84" sheetId="9" r:id="rId1"/>
    <sheet name="WGS—84转深圳" sheetId="7" r:id="rId2"/>
  </sheets>
  <calcPr calcId="162913"/>
</workbook>
</file>

<file path=xl/calcChain.xml><?xml version="1.0" encoding="utf-8"?>
<calcChain xmlns="http://schemas.openxmlformats.org/spreadsheetml/2006/main">
  <c r="H11" i="7" l="1"/>
  <c r="AJ10" i="7" l="1"/>
  <c r="AB14" i="7" l="1"/>
  <c r="AM20" i="7"/>
  <c r="AM19" i="7"/>
  <c r="AK11" i="7"/>
  <c r="AK12" i="7"/>
  <c r="AK13" i="7"/>
  <c r="AK10" i="7"/>
  <c r="AJ11" i="7"/>
  <c r="AJ12" i="7"/>
  <c r="AL12" i="7"/>
  <c r="AJ13" i="7"/>
  <c r="X10" i="7"/>
  <c r="L10" i="7"/>
  <c r="AD10" i="7"/>
  <c r="AC10" i="7"/>
  <c r="AG10" i="7"/>
  <c r="AF10" i="7"/>
  <c r="E10" i="9"/>
  <c r="H10" i="9" s="1"/>
  <c r="K10" i="9" s="1"/>
  <c r="AB10" i="7"/>
  <c r="AF2" i="7"/>
  <c r="AB2" i="7"/>
  <c r="M3" i="7"/>
  <c r="L3" i="7"/>
  <c r="W10" i="7"/>
  <c r="AB11" i="7"/>
  <c r="AN10" i="7"/>
  <c r="V10" i="7"/>
  <c r="U10" i="7"/>
  <c r="S10" i="7"/>
  <c r="R10" i="7"/>
  <c r="Q10" i="7"/>
  <c r="P10" i="7"/>
  <c r="O10" i="7"/>
  <c r="N10" i="7"/>
  <c r="M10" i="7"/>
  <c r="J10" i="7"/>
  <c r="K10" i="7"/>
  <c r="E11" i="7"/>
  <c r="G11" i="7"/>
  <c r="F11" i="7"/>
  <c r="E10" i="7"/>
  <c r="G10" i="7"/>
  <c r="H10" i="7"/>
  <c r="F10" i="7"/>
  <c r="E12" i="7"/>
  <c r="G12" i="7"/>
  <c r="F12" i="7"/>
  <c r="E13" i="7"/>
  <c r="G13" i="7"/>
  <c r="F13" i="7"/>
  <c r="S11" i="9"/>
  <c r="S12" i="9"/>
  <c r="S13" i="9"/>
  <c r="S10" i="9"/>
  <c r="E13" i="9"/>
  <c r="H13" i="9"/>
  <c r="K13" i="9"/>
  <c r="L13" i="9"/>
  <c r="F13" i="9"/>
  <c r="I13" i="9"/>
  <c r="J13" i="9"/>
  <c r="F10" i="9"/>
  <c r="I10" i="9" s="1"/>
  <c r="J10" i="9"/>
  <c r="E12" i="9"/>
  <c r="H12" i="9"/>
  <c r="K12" i="9"/>
  <c r="F12" i="9"/>
  <c r="I12" i="9"/>
  <c r="J12" i="9"/>
  <c r="E11" i="9"/>
  <c r="H11" i="9"/>
  <c r="K11" i="9"/>
  <c r="F11" i="9"/>
  <c r="I11" i="9"/>
  <c r="I10" i="7"/>
  <c r="H12" i="7"/>
  <c r="L12" i="7"/>
  <c r="O12" i="7"/>
  <c r="J12" i="7"/>
  <c r="I12" i="7"/>
  <c r="J13" i="7"/>
  <c r="I13" i="7"/>
  <c r="H13" i="7"/>
  <c r="N11" i="9"/>
  <c r="L11" i="9"/>
  <c r="O11" i="9"/>
  <c r="Q11" i="9"/>
  <c r="T11" i="9"/>
  <c r="V11" i="9"/>
  <c r="M11" i="9"/>
  <c r="I11" i="7"/>
  <c r="J11" i="7"/>
  <c r="K11" i="7"/>
  <c r="Y10" i="7"/>
  <c r="L12" i="9"/>
  <c r="M13" i="9"/>
  <c r="N13" i="9"/>
  <c r="P13" i="9"/>
  <c r="R13" i="9"/>
  <c r="U13" i="9"/>
  <c r="M12" i="9"/>
  <c r="N12" i="9"/>
  <c r="P12" i="9"/>
  <c r="R12" i="9"/>
  <c r="U12" i="9"/>
  <c r="L13" i="7"/>
  <c r="W12" i="7"/>
  <c r="K12" i="7"/>
  <c r="Y11" i="9"/>
  <c r="O13" i="9"/>
  <c r="Q13" i="9"/>
  <c r="T13" i="9"/>
  <c r="V13" i="9"/>
  <c r="N11" i="7"/>
  <c r="M11" i="7"/>
  <c r="W13" i="7"/>
  <c r="W11" i="7"/>
  <c r="K13" i="7"/>
  <c r="P11" i="9"/>
  <c r="R11" i="9"/>
  <c r="U11" i="9"/>
  <c r="X11" i="9"/>
  <c r="L11" i="7"/>
  <c r="O13" i="7"/>
  <c r="P13" i="7"/>
  <c r="O12" i="9"/>
  <c r="Q12" i="9"/>
  <c r="T12" i="9"/>
  <c r="V12" i="9"/>
  <c r="N12" i="7"/>
  <c r="M12" i="7"/>
  <c r="AB12" i="7"/>
  <c r="Y12" i="7"/>
  <c r="P12" i="7"/>
  <c r="Y12" i="9"/>
  <c r="W12" i="9"/>
  <c r="X12" i="9"/>
  <c r="AL12" i="9"/>
  <c r="AN12" i="9"/>
  <c r="O11" i="7"/>
  <c r="P11" i="7"/>
  <c r="Y11" i="7"/>
  <c r="AB13" i="7"/>
  <c r="Y13" i="7"/>
  <c r="W11" i="9"/>
  <c r="AA11" i="9"/>
  <c r="M13" i="7"/>
  <c r="N13" i="7"/>
  <c r="W13" i="9"/>
  <c r="X13" i="9"/>
  <c r="AL13" i="9"/>
  <c r="AN13" i="9"/>
  <c r="Y13" i="9"/>
  <c r="Z13" i="9"/>
  <c r="Q12" i="7"/>
  <c r="R12" i="7"/>
  <c r="S12" i="7"/>
  <c r="AC13" i="9"/>
  <c r="AB13" i="9"/>
  <c r="AA12" i="9"/>
  <c r="AA13" i="9"/>
  <c r="Z12" i="9"/>
  <c r="Q11" i="7"/>
  <c r="U11" i="7"/>
  <c r="V11" i="7"/>
  <c r="R11" i="7"/>
  <c r="Q13" i="7"/>
  <c r="R13" i="7"/>
  <c r="S13" i="7"/>
  <c r="AL11" i="9"/>
  <c r="AN11" i="9"/>
  <c r="AD11" i="9"/>
  <c r="S11" i="7"/>
  <c r="Z11" i="9"/>
  <c r="T10" i="7"/>
  <c r="Z10" i="7"/>
  <c r="U12" i="7"/>
  <c r="V12" i="7"/>
  <c r="AF11" i="7"/>
  <c r="AG11" i="7"/>
  <c r="X11" i="7"/>
  <c r="T11" i="7"/>
  <c r="Z11" i="7"/>
  <c r="AC11" i="7"/>
  <c r="AE11" i="7"/>
  <c r="AD11" i="7"/>
  <c r="AC12" i="9"/>
  <c r="AB12" i="9"/>
  <c r="AC11" i="9"/>
  <c r="AB11" i="9"/>
  <c r="AD13" i="9"/>
  <c r="AE13" i="9"/>
  <c r="AH13" i="9"/>
  <c r="AG13" i="9"/>
  <c r="AF13" i="9"/>
  <c r="AE11" i="9"/>
  <c r="U13" i="7"/>
  <c r="V13" i="7"/>
  <c r="AD12" i="9"/>
  <c r="AE12" i="9"/>
  <c r="AE10" i="7"/>
  <c r="AN11" i="7"/>
  <c r="X12" i="7"/>
  <c r="AE12" i="7"/>
  <c r="AD12" i="7"/>
  <c r="T12" i="7"/>
  <c r="Z12" i="7"/>
  <c r="AN12" i="7"/>
  <c r="AC12" i="7"/>
  <c r="AF12" i="7"/>
  <c r="AG12" i="7"/>
  <c r="AI12" i="7"/>
  <c r="AH11" i="7"/>
  <c r="AH12" i="9"/>
  <c r="AF12" i="9"/>
  <c r="AG12" i="9"/>
  <c r="AH11" i="9"/>
  <c r="AF11" i="9"/>
  <c r="AJ11" i="9"/>
  <c r="AK11" i="9"/>
  <c r="AG11" i="9"/>
  <c r="AJ13" i="9"/>
  <c r="AK13" i="9"/>
  <c r="T13" i="7"/>
  <c r="Z13" i="7"/>
  <c r="AN13" i="7"/>
  <c r="AF13" i="7"/>
  <c r="AG13" i="7"/>
  <c r="AD13" i="7"/>
  <c r="X13" i="7"/>
  <c r="AC13" i="7"/>
  <c r="AE13" i="7"/>
  <c r="AI11" i="7"/>
  <c r="AI10" i="7"/>
  <c r="AH10" i="7"/>
  <c r="AH12" i="7"/>
  <c r="AH13" i="7"/>
  <c r="AM11" i="9"/>
  <c r="AI11" i="9"/>
  <c r="AO11" i="9"/>
  <c r="AJ12" i="9"/>
  <c r="AK12" i="9"/>
  <c r="AI13" i="7"/>
  <c r="AM13" i="9"/>
  <c r="AI13" i="9"/>
  <c r="AO13" i="9"/>
  <c r="AL10" i="7"/>
  <c r="AM10" i="7"/>
  <c r="AL11" i="7"/>
  <c r="AI12" i="9"/>
  <c r="AM12" i="9"/>
  <c r="AO12" i="9"/>
  <c r="AM13" i="7"/>
  <c r="AM11" i="7"/>
  <c r="AL13" i="7"/>
  <c r="AM12" i="7"/>
  <c r="M10" i="9" l="1"/>
  <c r="L10" i="9"/>
  <c r="N10" i="9" l="1"/>
  <c r="P10" i="9" s="1"/>
  <c r="R10" i="9" s="1"/>
  <c r="U10" i="9" s="1"/>
  <c r="O10" i="9" l="1"/>
  <c r="Q10" i="9" s="1"/>
  <c r="T10" i="9" s="1"/>
  <c r="V10" i="9" s="1"/>
  <c r="W10" i="9" l="1"/>
  <c r="Y10" i="9"/>
  <c r="X10" i="9"/>
  <c r="AL10" i="9" l="1"/>
  <c r="AN10" i="9" s="1"/>
  <c r="Z10" i="9"/>
  <c r="AC10" i="9" s="1"/>
  <c r="AA10" i="9"/>
  <c r="AB10" i="9" l="1"/>
  <c r="AD10" i="9"/>
  <c r="AE10" i="9" s="1"/>
  <c r="AF10" i="9" l="1"/>
  <c r="AH10" i="9"/>
  <c r="AG10" i="9"/>
  <c r="AJ10" i="9" l="1"/>
  <c r="AK10" i="9" s="1"/>
  <c r="AI10" i="9" s="1"/>
  <c r="AO10" i="9" s="1"/>
  <c r="AM10" i="9" l="1"/>
</calcChain>
</file>

<file path=xl/sharedStrings.xml><?xml version="1.0" encoding="utf-8"?>
<sst xmlns="http://schemas.openxmlformats.org/spreadsheetml/2006/main" count="183" uniqueCount="99">
  <si>
    <t>点名称</t>
  </si>
  <si>
    <t>Y(m)</t>
    <phoneticPr fontId="2" type="noConversion"/>
  </si>
  <si>
    <t>X(m)</t>
    <phoneticPr fontId="2" type="noConversion"/>
  </si>
  <si>
    <t>纬度</t>
    <phoneticPr fontId="2" type="noConversion"/>
  </si>
  <si>
    <t>°′″</t>
    <phoneticPr fontId="2" type="noConversion"/>
  </si>
  <si>
    <t xml:space="preserve"> r</t>
    <phoneticPr fontId="2" type="noConversion"/>
  </si>
  <si>
    <t>N</t>
    <phoneticPr fontId="2" type="noConversion"/>
  </si>
  <si>
    <t>经度</t>
  </si>
  <si>
    <t>H</t>
    <phoneticPr fontId="2" type="noConversion"/>
  </si>
  <si>
    <t>Z(m)</t>
    <phoneticPr fontId="2" type="noConversion"/>
  </si>
  <si>
    <t>北京空间直角坐标系</t>
    <phoneticPr fontId="2" type="noConversion"/>
  </si>
  <si>
    <t>R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</si>
  <si>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</si>
  <si>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</si>
  <si>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</si>
  <si>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</si>
  <si>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W</t>
    <phoneticPr fontId="2" type="noConversion"/>
  </si>
  <si>
    <t>Θ</t>
    <phoneticPr fontId="2" type="noConversion"/>
  </si>
  <si>
    <t>SINΘ</t>
    <phoneticPr fontId="2" type="noConversion"/>
  </si>
  <si>
    <t>COSΘ</t>
    <phoneticPr fontId="2" type="noConversion"/>
  </si>
  <si>
    <t>a/R</t>
    <phoneticPr fontId="2" type="noConversion"/>
  </si>
  <si>
    <t>B</t>
    <phoneticPr fontId="2" type="noConversion"/>
  </si>
  <si>
    <t>L</t>
    <phoneticPr fontId="2" type="noConversion"/>
  </si>
  <si>
    <t>r</t>
    <phoneticPr fontId="2" type="noConversion"/>
  </si>
  <si>
    <t>tgB</t>
    <phoneticPr fontId="2" type="noConversion"/>
  </si>
  <si>
    <t>L0</t>
    <phoneticPr fontId="2" type="noConversion"/>
  </si>
  <si>
    <t>X</t>
    <phoneticPr fontId="2" type="noConversion"/>
  </si>
  <si>
    <t>Y</t>
    <phoneticPr fontId="2" type="noConversion"/>
  </si>
  <si>
    <t>中央子午线</t>
    <phoneticPr fontId="2" type="noConversion"/>
  </si>
  <si>
    <t>深圳独立坐标</t>
    <phoneticPr fontId="2" type="noConversion"/>
  </si>
  <si>
    <t>米</t>
    <phoneticPr fontId="2" type="noConversion"/>
  </si>
  <si>
    <t>m</t>
    <phoneticPr fontId="2" type="noConversion"/>
  </si>
  <si>
    <t>x</t>
    <phoneticPr fontId="2" type="noConversion"/>
  </si>
  <si>
    <t>t</t>
    <phoneticPr fontId="2" type="noConversion"/>
  </si>
  <si>
    <t>n*n</t>
    <phoneticPr fontId="2" type="noConversion"/>
  </si>
  <si>
    <r>
      <t>纬度</t>
    </r>
    <r>
      <rPr>
        <sz val="10"/>
        <rFont val="Times New Roman"/>
        <family val="1"/>
      </rPr>
      <t>(B)</t>
    </r>
    <phoneticPr fontId="2" type="noConversion"/>
  </si>
  <si>
    <r>
      <t>经度</t>
    </r>
    <r>
      <rPr>
        <sz val="10"/>
        <rFont val="Times New Roman"/>
        <family val="1"/>
      </rPr>
      <t>(L)</t>
    </r>
    <phoneticPr fontId="2" type="noConversion"/>
  </si>
  <si>
    <r>
      <t>高度</t>
    </r>
    <r>
      <rPr>
        <sz val="10"/>
        <rFont val="Times New Roman"/>
        <family val="1"/>
      </rPr>
      <t>(H)</t>
    </r>
    <phoneticPr fontId="2" type="noConversion"/>
  </si>
  <si>
    <r>
      <t>1954</t>
    </r>
    <r>
      <rPr>
        <sz val="10"/>
        <rFont val="宋体"/>
        <charset val="134"/>
      </rPr>
      <t>年北京坐标</t>
    </r>
    <phoneticPr fontId="2" type="noConversion"/>
  </si>
  <si>
    <r>
      <t>WGS—84</t>
    </r>
    <r>
      <rPr>
        <sz val="9"/>
        <rFont val="宋体"/>
        <charset val="134"/>
      </rPr>
      <t>大地坐标系的地球椭球基本几何参数</t>
    </r>
    <phoneticPr fontId="2" type="noConversion"/>
  </si>
  <si>
    <r>
      <t>1954</t>
    </r>
    <r>
      <rPr>
        <sz val="9"/>
        <rFont val="宋体"/>
        <charset val="134"/>
      </rPr>
      <t>北京坐标系参考椭球基本几何参数</t>
    </r>
    <phoneticPr fontId="2" type="noConversion"/>
  </si>
  <si>
    <r>
      <t>长半轴</t>
    </r>
    <r>
      <rPr>
        <sz val="8"/>
        <rFont val="Times New Roman"/>
        <family val="1"/>
      </rPr>
      <t>a=</t>
    </r>
    <phoneticPr fontId="2" type="noConversion"/>
  </si>
  <si>
    <r>
      <t>短半轴</t>
    </r>
    <r>
      <rPr>
        <sz val="8"/>
        <rFont val="Times New Roman"/>
        <family val="1"/>
      </rPr>
      <t>b=</t>
    </r>
    <phoneticPr fontId="2" type="noConversion"/>
  </si>
  <si>
    <r>
      <t>第一偏心率平方</t>
    </r>
    <r>
      <rPr>
        <sz val="8"/>
        <rFont val="Times New Roman"/>
        <family val="1"/>
      </rPr>
      <t>e*e=</t>
    </r>
    <phoneticPr fontId="2" type="noConversion"/>
  </si>
  <si>
    <t>(m)</t>
    <phoneticPr fontId="2" type="noConversion"/>
  </si>
  <si>
    <r>
      <t>WGS—84</t>
    </r>
    <r>
      <rPr>
        <sz val="10"/>
        <rFont val="宋体"/>
        <charset val="134"/>
      </rPr>
      <t>大地坐标</t>
    </r>
    <phoneticPr fontId="2" type="noConversion"/>
  </si>
  <si>
    <r>
      <t>1954</t>
    </r>
    <r>
      <rPr>
        <sz val="10"/>
        <rFont val="宋体"/>
        <charset val="134"/>
      </rPr>
      <t>北京大地坐标</t>
    </r>
    <phoneticPr fontId="2" type="noConversion"/>
  </si>
  <si>
    <r>
      <t>SIN</t>
    </r>
    <r>
      <rPr>
        <sz val="10"/>
        <rFont val="宋体"/>
        <charset val="134"/>
      </rPr>
      <t>Θ</t>
    </r>
    <phoneticPr fontId="2" type="noConversion"/>
  </si>
  <si>
    <r>
      <t>COS</t>
    </r>
    <r>
      <rPr>
        <sz val="10"/>
        <rFont val="宋体"/>
        <charset val="134"/>
      </rPr>
      <t>Θ</t>
    </r>
    <phoneticPr fontId="2" type="noConversion"/>
  </si>
  <si>
    <t>高程</t>
    <phoneticPr fontId="2" type="noConversion"/>
  </si>
  <si>
    <t>(m)</t>
  </si>
  <si>
    <t>X=</t>
    <phoneticPr fontId="2" type="noConversion"/>
  </si>
  <si>
    <t>Y=</t>
    <phoneticPr fontId="2" type="noConversion"/>
  </si>
  <si>
    <t>H=</t>
    <phoneticPr fontId="2" type="noConversion"/>
  </si>
  <si>
    <t>点校正前深圳独立坐标</t>
    <phoneticPr fontId="2" type="noConversion"/>
  </si>
  <si>
    <r>
      <t>基准站深圳独立坐标和黄海高程</t>
    </r>
    <r>
      <rPr>
        <sz val="9"/>
        <rFont val="Times New Roman"/>
        <family val="1"/>
      </rPr>
      <t>(m)</t>
    </r>
    <phoneticPr fontId="2" type="noConversion"/>
  </si>
  <si>
    <r>
      <t>WGS</t>
    </r>
    <r>
      <rPr>
        <sz val="10"/>
        <rFont val="宋体"/>
        <charset val="134"/>
      </rPr>
      <t>—</t>
    </r>
    <r>
      <rPr>
        <sz val="10"/>
        <rFont val="Times New Roman"/>
        <family val="1"/>
      </rPr>
      <t>84</t>
    </r>
    <r>
      <rPr>
        <sz val="10"/>
        <rFont val="宋体"/>
        <charset val="134"/>
      </rPr>
      <t>空间直角坐标系</t>
    </r>
    <phoneticPr fontId="2" type="noConversion"/>
  </si>
  <si>
    <t>1954年北京坐标</t>
  </si>
  <si>
    <t>中央子午线</t>
    <phoneticPr fontId="2" type="noConversion"/>
  </si>
  <si>
    <t>°′″</t>
    <phoneticPr fontId="2" type="noConversion"/>
  </si>
  <si>
    <t>x</t>
    <phoneticPr fontId="2" type="noConversion"/>
  </si>
  <si>
    <t>y</t>
    <phoneticPr fontId="2" type="noConversion"/>
  </si>
  <si>
    <t>°</t>
    <phoneticPr fontId="2" type="noConversion"/>
  </si>
  <si>
    <t>Bf</t>
    <phoneticPr fontId="2" type="noConversion"/>
  </si>
  <si>
    <t>tf</t>
    <phoneticPr fontId="2" type="noConversion"/>
  </si>
  <si>
    <t>nf*nf</t>
    <phoneticPr fontId="2" type="noConversion"/>
  </si>
  <si>
    <t>n</t>
    <phoneticPr fontId="2" type="noConversion"/>
  </si>
  <si>
    <t>B0</t>
    <phoneticPr fontId="2" type="noConversion"/>
  </si>
  <si>
    <t>l0</t>
    <phoneticPr fontId="2" type="noConversion"/>
  </si>
  <si>
    <t>将度分秒转为  十进制度 再转为   弧度制</t>
    <phoneticPr fontId="2" type="noConversion"/>
  </si>
  <si>
    <t>转为北京五四下的XYZ</t>
    <phoneticPr fontId="2" type="noConversion"/>
  </si>
  <si>
    <t>BLH</t>
    <phoneticPr fontId="2" type="noConversion"/>
  </si>
  <si>
    <t>地心到参心加偏移</t>
    <phoneticPr fontId="2" type="noConversion"/>
  </si>
  <si>
    <t>X:-22 Y:118 Z:30.5</t>
    <phoneticPr fontId="2" type="noConversion"/>
  </si>
  <si>
    <r>
      <t>PS：地心到参心</t>
    </r>
    <r>
      <rPr>
        <sz val="12"/>
        <rFont val="宋体"/>
        <charset val="134"/>
      </rPr>
      <t xml:space="preserve">  其xyz轴方向一致  所以只需平移</t>
    </r>
    <phoneticPr fontId="2" type="noConversion"/>
  </si>
  <si>
    <t>神秘的直接求解方法</t>
    <phoneticPr fontId="2" type="noConversion"/>
  </si>
  <si>
    <t>迭代求解：</t>
    <phoneticPr fontId="2" type="noConversion"/>
  </si>
  <si>
    <t>找到的直接求解：</t>
    <phoneticPr fontId="2" type="noConversion"/>
  </si>
  <si>
    <t>H</t>
    <phoneticPr fontId="2" type="noConversion"/>
  </si>
  <si>
    <t>L</t>
    <phoneticPr fontId="2" type="noConversion"/>
  </si>
  <si>
    <t>使用高斯投影  114度带投影</t>
    <phoneticPr fontId="2" type="noConversion"/>
  </si>
  <si>
    <t>η2</t>
    <phoneticPr fontId="2" type="noConversion"/>
  </si>
  <si>
    <t>e2</t>
    <phoneticPr fontId="2" type="noConversion"/>
  </si>
  <si>
    <t>子午线弧长</t>
    <phoneticPr fontId="2" type="noConversion"/>
  </si>
  <si>
    <t>tan(B)</t>
    <phoneticPr fontId="2" type="noConversion"/>
  </si>
  <si>
    <t>△X</t>
    <phoneticPr fontId="2" type="noConversion"/>
  </si>
  <si>
    <t>△Y</t>
    <phoneticPr fontId="2" type="noConversion"/>
  </si>
  <si>
    <t>(1+m)*cosa</t>
    <phoneticPr fontId="2" type="noConversion"/>
  </si>
  <si>
    <t>(1+m)*sina</t>
    <phoneticPr fontId="2" type="noConversion"/>
  </si>
  <si>
    <t>旋转参数α</t>
    <phoneticPr fontId="2" type="noConversion"/>
  </si>
  <si>
    <t>m尺度参数</t>
    <phoneticPr fontId="2" type="noConversion"/>
  </si>
  <si>
    <t>反算验证</t>
    <phoneticPr fontId="2" type="noConversion"/>
  </si>
  <si>
    <t>√</t>
    <phoneticPr fontId="2" type="noConversion"/>
  </si>
  <si>
    <r>
      <t>1</t>
    </r>
    <r>
      <rPr>
        <sz val="12"/>
        <rFont val="宋体"/>
        <charset val="134"/>
      </rPr>
      <t>14弧度制</t>
    </r>
    <phoneticPr fontId="2" type="noConversion"/>
  </si>
  <si>
    <t>L与114经度差值</t>
    <phoneticPr fontId="2" type="noConversion"/>
  </si>
  <si>
    <t>未知方法（表格）</t>
    <phoneticPr fontId="2" type="noConversion"/>
  </si>
  <si>
    <t>第二偏心率2次方</t>
    <phoneticPr fontId="2" type="noConversion"/>
  </si>
  <si>
    <t>第一偏心率2次方</t>
    <phoneticPr fontId="2" type="noConversion"/>
  </si>
  <si>
    <t>新深圳独立坐标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</si>
</sst>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00_ "/>
    <numFmt numFmtId="177" formatCode="0.00_ "/>
    <numFmt numFmtId="178" formatCode="0_ "/>
    <numFmt numFmtId="179" formatCode="0.000_ "/>
    <numFmt numFmtId="180" formatCode="0.00000_ "/>
    <numFmt numFmtId="181" formatCode="0.0000000000_ "/>
    <numFmt numFmtId="182" formatCode="0.000000000000000_ "/>
    <numFmt numFmtId="183" formatCode="0.000_);[Red]\(0.000\)"/>
  </numFmts>
  <fonts count="1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1"/>
      <name val="宋体"/>
      <charset val="134"/>
    </font>
    <font>
      <sz val="8"/>
      <name val="宋体"/>
      <charset val="134"/>
    </font>
    <font>
      <sz val="8"/>
      <name val="Times New Roman"/>
      <family val="1"/>
    </font>
    <font>
      <sz val="9"/>
      <name val="Times New Roman"/>
      <family val="1"/>
    </font>
    <font>
      <sz val="11"/>
      <color rgb="FF006100"/>
      <name val="宋体"/>
      <charset val="134"/>
      <scheme val="minor"/>
    </font>
    <font>
      <sz val="12"/>
      <color rgb="FF333333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0" fillId="0" borderId="0" xfId="0" applyAlignme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0" xfId="0" applyFont="1"/>
    <xf numFmtId="0" fontId="4" fillId="0" borderId="1" xfId="0" applyFont="1" applyBorder="1"/>
    <xf numFmtId="181" fontId="5" fillId="0" borderId="1" xfId="0" applyNumberFormat="1" applyFont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left" vertical="center"/>
    </xf>
    <xf numFmtId="178" fontId="4" fillId="0" borderId="3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/>
    <xf numFmtId="179" fontId="4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shrinkToFit="1"/>
    </xf>
    <xf numFmtId="179" fontId="5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right" vertical="center"/>
    </xf>
    <xf numFmtId="179" fontId="4" fillId="0" borderId="1" xfId="0" applyNumberFormat="1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183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4" fillId="0" borderId="9" xfId="0" applyFont="1" applyFill="1" applyBorder="1"/>
    <xf numFmtId="0" fontId="0" fillId="0" borderId="0" xfId="0" applyNumberFormat="1"/>
    <xf numFmtId="177" fontId="0" fillId="0" borderId="0" xfId="0" applyNumberFormat="1" applyFont="1"/>
    <xf numFmtId="0" fontId="10" fillId="2" borderId="0" xfId="1" applyAlignment="1"/>
    <xf numFmtId="177" fontId="10" fillId="2" borderId="0" xfId="1" applyNumberFormat="1" applyAlignment="1"/>
    <xf numFmtId="0" fontId="10" fillId="2" borderId="0" xfId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2" fillId="0" borderId="0" xfId="0" applyFont="1"/>
    <xf numFmtId="0" fontId="9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82" fontId="4" fillId="0" borderId="4" xfId="0" applyNumberFormat="1" applyFont="1" applyBorder="1" applyAlignment="1">
      <alignment horizontal="left" vertical="center"/>
    </xf>
    <xf numFmtId="182" fontId="4" fillId="0" borderId="3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4" fillId="0" borderId="4" xfId="0" applyNumberFormat="1" applyFont="1" applyBorder="1" applyAlignment="1">
      <alignment horizontal="left" vertical="center"/>
    </xf>
    <xf numFmtId="180" fontId="4" fillId="0" borderId="3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 shrinkToFi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69" name="Object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0" name="Object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1" name="Object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2" name="Object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3" name="Object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0</xdr:row>
          <xdr:rowOff>0</xdr:rowOff>
        </xdr:from>
        <xdr:to>
          <xdr:col>18</xdr:col>
          <xdr:colOff>0</xdr:colOff>
          <xdr:row>0</xdr:row>
          <xdr:rowOff>0</xdr:rowOff>
        </xdr:to>
        <xdr:sp macro="" textlink="">
          <xdr:nvSpPr>
            <xdr:cNvPr id="6174" name="Object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5" name="Object 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6" name="Object 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7" name="Object 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8" name="Object 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0</xdr:row>
          <xdr:rowOff>0</xdr:rowOff>
        </xdr:from>
        <xdr:to>
          <xdr:col>0</xdr:col>
          <xdr:colOff>504825</xdr:colOff>
          <xdr:row>0</xdr:row>
          <xdr:rowOff>0</xdr:rowOff>
        </xdr:to>
        <xdr:sp macro="" textlink="">
          <xdr:nvSpPr>
            <xdr:cNvPr id="6179" name="Object 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0</xdr:row>
          <xdr:rowOff>0</xdr:rowOff>
        </xdr:from>
        <xdr:to>
          <xdr:col>18</xdr:col>
          <xdr:colOff>0</xdr:colOff>
          <xdr:row>0</xdr:row>
          <xdr:rowOff>0</xdr:rowOff>
        </xdr:to>
        <xdr:sp macro="" textlink="">
          <xdr:nvSpPr>
            <xdr:cNvPr id="6180" name="Object 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81" name="Object 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82" name="Object 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83" name="Object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84" name="Object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6185" name="Object 41" hidden="1">
              <a:extLst>
                <a:ext uri="{63B3BB69-23CF-44E3-9099-C40C66FF867C}">
                  <a14:compatExt spid="_x0000_s6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333375</xdr:colOff>
          <xdr:row>13</xdr:row>
          <xdr:rowOff>0</xdr:rowOff>
        </xdr:from>
        <xdr:to>
          <xdr:col>0</xdr:col>
          <xdr:colOff>504825</xdr:colOff>
          <xdr:row>13</xdr:row>
          <xdr:rowOff>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314325</xdr:colOff>
          <xdr:row>13</xdr:row>
          <xdr:rowOff>0</xdr:rowOff>
        </xdr:from>
        <xdr:to>
          <xdr:col>3</xdr:col>
          <xdr:colOff>0</xdr:colOff>
          <xdr:row>13</xdr:row>
          <xdr:rowOff>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10.bin"/><Relationship Id="rId26" Type="http://schemas.openxmlformats.org/officeDocument/2006/relationships/oleObject" Target="../embeddings/oleObject17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2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9.bin"/><Relationship Id="rId25" Type="http://schemas.openxmlformats.org/officeDocument/2006/relationships/oleObject" Target="../embeddings/oleObject16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8.bin"/><Relationship Id="rId20" Type="http://schemas.openxmlformats.org/officeDocument/2006/relationships/image" Target="../media/image6.emf"/><Relationship Id="rId29" Type="http://schemas.openxmlformats.org/officeDocument/2006/relationships/oleObject" Target="../embeddings/oleObject20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5.bin"/><Relationship Id="rId5" Type="http://schemas.openxmlformats.org/officeDocument/2006/relationships/image" Target="../media/image1.wmf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4.bin"/><Relationship Id="rId28" Type="http://schemas.openxmlformats.org/officeDocument/2006/relationships/oleObject" Target="../embeddings/oleObject19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11.bin"/><Relationship Id="rId31" Type="http://schemas.openxmlformats.org/officeDocument/2006/relationships/oleObject" Target="../embeddings/oleObject22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3.bin"/><Relationship Id="rId27" Type="http://schemas.openxmlformats.org/officeDocument/2006/relationships/oleObject" Target="../embeddings/oleObject18.bin"/><Relationship Id="rId30" Type="http://schemas.openxmlformats.org/officeDocument/2006/relationships/oleObject" Target="../embeddings/oleObject2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5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27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4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26.bin"/><Relationship Id="rId4" Type="http://schemas.openxmlformats.org/officeDocument/2006/relationships/oleObject" Target="../embeddings/oleObject23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O13"/>
  <sheetViews>
    <sheetView topLeftCell="B1" workbookViewId="0">
      <selection activeCell="C10" sqref="C10"/>
    </sheetView>
  </sheetViews>
  <sheetFormatPr defaultRowHeight="14.25" x14ac:dyDescent="0.15"/>
  <cols>
    <col min="1" max="1" width="6.625" customWidth="1"/>
    <col min="2" max="3" width="10.625" customWidth="1"/>
    <col min="4" max="4" width="9.125" customWidth="1"/>
    <col min="5" max="9" width="12.625" customWidth="1"/>
    <col min="10" max="10" width="8.625" customWidth="1"/>
    <col min="11" max="15" width="6.625" customWidth="1"/>
    <col min="16" max="16" width="8.625" customWidth="1"/>
    <col min="17" max="18" width="15.625" customWidth="1"/>
    <col min="19" max="19" width="8.375" customWidth="1"/>
    <col min="20" max="21" width="10.625" customWidth="1"/>
    <col min="22" max="22" width="12.625" customWidth="1"/>
    <col min="23" max="23" width="9.625" customWidth="1"/>
    <col min="24" max="29" width="8.625" customWidth="1"/>
    <col min="30" max="36" width="5.625" customWidth="1"/>
    <col min="37" max="38" width="8.625" customWidth="1"/>
    <col min="39" max="39" width="12.625" customWidth="1"/>
    <col min="40" max="40" width="18.5" customWidth="1"/>
    <col min="41" max="41" width="6.625" hidden="1" customWidth="1"/>
  </cols>
  <sheetData>
    <row r="2" spans="1:41" ht="30" customHeight="1" x14ac:dyDescent="0.15">
      <c r="Q2" s="57" t="s">
        <v>40</v>
      </c>
      <c r="R2" s="58"/>
      <c r="S2" s="5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57" t="s">
        <v>39</v>
      </c>
      <c r="AN2" s="78"/>
      <c r="AO2" s="79"/>
    </row>
    <row r="3" spans="1:41" ht="24.95" customHeight="1" x14ac:dyDescent="0.15">
      <c r="Q3" s="8" t="s">
        <v>41</v>
      </c>
      <c r="R3" s="25">
        <v>6378245</v>
      </c>
      <c r="S3" s="26"/>
      <c r="AE3" s="66"/>
      <c r="AF3" s="66"/>
      <c r="AG3" s="66"/>
      <c r="AH3" s="75"/>
      <c r="AI3" s="75"/>
      <c r="AJ3" s="75"/>
      <c r="AK3" s="75"/>
      <c r="AL3" s="75"/>
      <c r="AM3" s="8" t="s">
        <v>41</v>
      </c>
      <c r="AN3" s="23">
        <v>6378137</v>
      </c>
      <c r="AO3" s="24"/>
    </row>
    <row r="4" spans="1:41" ht="24.95" customHeight="1" x14ac:dyDescent="0.15">
      <c r="Q4" s="8" t="s">
        <v>42</v>
      </c>
      <c r="R4" s="25">
        <v>6356863.0187999997</v>
      </c>
      <c r="S4" s="26"/>
      <c r="AE4" s="66"/>
      <c r="AF4" s="66"/>
      <c r="AG4" s="66"/>
      <c r="AH4" s="75"/>
      <c r="AI4" s="75"/>
      <c r="AJ4" s="75"/>
      <c r="AK4" s="75"/>
      <c r="AL4" s="75"/>
      <c r="AM4" s="8" t="s">
        <v>42</v>
      </c>
      <c r="AN4" s="76">
        <v>6356752.3141999999</v>
      </c>
      <c r="AO4" s="77"/>
    </row>
    <row r="5" spans="1:41" ht="24.95" customHeight="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8" t="s">
        <v>43</v>
      </c>
      <c r="R5" s="67">
        <v>6.6934216229659997E-3</v>
      </c>
      <c r="S5" s="68"/>
      <c r="AD5" s="66"/>
      <c r="AE5" s="66"/>
      <c r="AF5" s="66"/>
      <c r="AG5" s="66"/>
      <c r="AH5" s="80"/>
      <c r="AI5" s="80"/>
      <c r="AJ5" s="80"/>
      <c r="AK5" s="80"/>
      <c r="AL5" s="80"/>
      <c r="AM5" s="8" t="s">
        <v>43</v>
      </c>
      <c r="AN5" s="67">
        <v>6.69437999013E-3</v>
      </c>
      <c r="AO5" s="68"/>
    </row>
    <row r="6" spans="1:41" ht="24.95" customHeight="1" x14ac:dyDescent="0.15"/>
    <row r="7" spans="1:41" s="1" customFormat="1" ht="24.95" customHeight="1" x14ac:dyDescent="0.15">
      <c r="A7" s="60" t="s">
        <v>0</v>
      </c>
      <c r="B7" s="69" t="s">
        <v>29</v>
      </c>
      <c r="C7" s="70"/>
      <c r="D7" s="2" t="s">
        <v>49</v>
      </c>
      <c r="E7" s="71" t="s">
        <v>57</v>
      </c>
      <c r="F7" s="72"/>
      <c r="G7" s="37"/>
      <c r="H7" s="37"/>
      <c r="I7" s="37"/>
      <c r="J7" s="37"/>
      <c r="K7" s="37"/>
      <c r="L7" s="37"/>
      <c r="M7" s="37"/>
      <c r="N7" s="37"/>
      <c r="O7" s="37"/>
      <c r="P7" s="37"/>
      <c r="Q7" s="73" t="s">
        <v>46</v>
      </c>
      <c r="R7" s="74"/>
      <c r="S7" s="70"/>
      <c r="AM7" s="73" t="s">
        <v>45</v>
      </c>
      <c r="AN7" s="74"/>
      <c r="AO7" s="70"/>
    </row>
    <row r="8" spans="1:41" ht="24.95" customHeight="1" x14ac:dyDescent="0.15">
      <c r="A8" s="61"/>
      <c r="B8" s="4" t="s">
        <v>26</v>
      </c>
      <c r="C8" s="4" t="s">
        <v>27</v>
      </c>
      <c r="D8" s="34" t="s">
        <v>8</v>
      </c>
      <c r="E8" s="4" t="s">
        <v>26</v>
      </c>
      <c r="F8" s="4" t="s">
        <v>27</v>
      </c>
      <c r="G8" s="2" t="s">
        <v>58</v>
      </c>
      <c r="H8" s="5"/>
      <c r="I8" s="5"/>
      <c r="J8" s="2" t="s">
        <v>58</v>
      </c>
      <c r="K8" s="5"/>
      <c r="L8" s="5"/>
      <c r="M8" s="5"/>
      <c r="N8" s="5"/>
      <c r="O8" s="5"/>
      <c r="P8" s="5"/>
      <c r="Q8" s="11" t="s">
        <v>35</v>
      </c>
      <c r="R8" s="11" t="s">
        <v>36</v>
      </c>
      <c r="S8" s="2" t="s">
        <v>37</v>
      </c>
      <c r="T8" s="2" t="s">
        <v>3</v>
      </c>
      <c r="U8" s="2" t="s">
        <v>7</v>
      </c>
      <c r="V8" s="7" t="s">
        <v>6</v>
      </c>
      <c r="W8" s="63" t="s">
        <v>56</v>
      </c>
      <c r="X8" s="64"/>
      <c r="Y8" s="65"/>
      <c r="Z8" s="22" t="s">
        <v>17</v>
      </c>
      <c r="AA8" s="7" t="s">
        <v>11</v>
      </c>
      <c r="AB8" s="7" t="s">
        <v>47</v>
      </c>
      <c r="AC8" s="7" t="s">
        <v>48</v>
      </c>
      <c r="AD8" s="3" t="s">
        <v>20</v>
      </c>
      <c r="AE8" s="7" t="s">
        <v>12</v>
      </c>
      <c r="AF8" s="7" t="s">
        <v>13</v>
      </c>
      <c r="AG8" s="3" t="s">
        <v>14</v>
      </c>
      <c r="AH8" s="3" t="s">
        <v>15</v>
      </c>
      <c r="AI8" s="3" t="s">
        <v>16</v>
      </c>
      <c r="AJ8" s="3" t="s">
        <v>24</v>
      </c>
      <c r="AK8" s="3" t="s">
        <v>21</v>
      </c>
      <c r="AL8" s="3" t="s">
        <v>22</v>
      </c>
      <c r="AM8" s="11" t="s">
        <v>35</v>
      </c>
      <c r="AN8" s="11" t="s">
        <v>36</v>
      </c>
      <c r="AO8" s="11" t="s">
        <v>37</v>
      </c>
    </row>
    <row r="9" spans="1:41" ht="24.95" customHeight="1" x14ac:dyDescent="0.15">
      <c r="A9" s="62"/>
      <c r="B9" s="4" t="s">
        <v>44</v>
      </c>
      <c r="C9" s="4" t="s">
        <v>1</v>
      </c>
      <c r="D9" s="2" t="s">
        <v>50</v>
      </c>
      <c r="E9" s="4" t="s">
        <v>44</v>
      </c>
      <c r="F9" s="4" t="s">
        <v>44</v>
      </c>
      <c r="G9" s="2" t="s">
        <v>59</v>
      </c>
      <c r="H9" s="34" t="s">
        <v>60</v>
      </c>
      <c r="I9" s="34" t="s">
        <v>61</v>
      </c>
      <c r="J9" s="2" t="s">
        <v>62</v>
      </c>
      <c r="K9" s="34" t="s">
        <v>63</v>
      </c>
      <c r="L9" s="34" t="s">
        <v>64</v>
      </c>
      <c r="M9" s="34" t="s">
        <v>65</v>
      </c>
      <c r="N9" s="34" t="s">
        <v>66</v>
      </c>
      <c r="O9" s="34" t="s">
        <v>67</v>
      </c>
      <c r="P9" s="34" t="s">
        <v>68</v>
      </c>
      <c r="Q9" s="2" t="s">
        <v>4</v>
      </c>
      <c r="R9" s="2" t="s">
        <v>4</v>
      </c>
      <c r="S9" s="2" t="s">
        <v>30</v>
      </c>
      <c r="T9" s="3" t="s">
        <v>5</v>
      </c>
      <c r="U9" s="3" t="s">
        <v>5</v>
      </c>
      <c r="V9" s="3"/>
      <c r="W9" s="4" t="s">
        <v>2</v>
      </c>
      <c r="X9" s="4" t="s">
        <v>1</v>
      </c>
      <c r="Y9" s="4" t="s">
        <v>9</v>
      </c>
      <c r="Z9" s="3" t="s">
        <v>5</v>
      </c>
      <c r="AA9" s="2"/>
      <c r="AB9" s="2"/>
      <c r="AC9" s="2"/>
      <c r="AD9" s="2"/>
      <c r="AE9" s="16"/>
      <c r="AF9" s="16"/>
      <c r="AG9" s="16"/>
      <c r="AH9" s="16"/>
      <c r="AI9" s="16"/>
      <c r="AJ9" s="16"/>
      <c r="AK9" s="7" t="s">
        <v>23</v>
      </c>
      <c r="AL9" s="7" t="s">
        <v>23</v>
      </c>
      <c r="AM9" s="2" t="s">
        <v>4</v>
      </c>
      <c r="AN9" s="2" t="s">
        <v>4</v>
      </c>
      <c r="AO9" s="2" t="s">
        <v>30</v>
      </c>
    </row>
    <row r="10" spans="1:41" ht="24.95" customHeight="1" x14ac:dyDescent="0.15">
      <c r="A10" s="33">
        <v>1</v>
      </c>
      <c r="B10" s="27">
        <v>55000</v>
      </c>
      <c r="C10" s="27">
        <v>85000</v>
      </c>
      <c r="D10" s="27">
        <v>50</v>
      </c>
      <c r="E10" s="38">
        <f>2472721.34852661+0.999845189293312*B10+0.0170794528393774*C10</f>
        <v>2529164.5874290895</v>
      </c>
      <c r="F10" s="38">
        <f>391032.173570315-0.0170794528393774*B10+0.999845189293312*C10</f>
        <v>475079.6447540808</v>
      </c>
      <c r="G10" s="39">
        <v>114</v>
      </c>
      <c r="H10" s="40">
        <f>E10/1000000-3</f>
        <v>-0.47083541257091044</v>
      </c>
      <c r="I10" s="40">
        <f>F10-500000</f>
        <v>-24920.3552459192</v>
      </c>
      <c r="J10" s="6">
        <f>25*G10/9-2*INT(G10)/3-INT(100*G10)/90</f>
        <v>114.00000000000001</v>
      </c>
      <c r="K10" s="40">
        <f>27.11115372595+9.02468257083*H10-0.00579740442*POWER(H10,2)-0.00043532572*POWER(H10,3)+0.00004857285*POWER(H10,4)+0.00000215727*POWER(H10,5)-0.00000019399*POWER(H10,6)</f>
        <v>22.860776154403901</v>
      </c>
      <c r="L10" s="40">
        <f>TAN(RADIANS(K10))</f>
        <v>0.4216100316661906</v>
      </c>
      <c r="M10" s="40">
        <f>0.0067385254147*POWER(COS(RADIANS(K10)),2)</f>
        <v>5.7215000633636347E-3</v>
      </c>
      <c r="N10" s="40">
        <f>I10*POWER(1+M10,0.5)/6399698.90178271</f>
        <v>-3.9051125458361767E-3</v>
      </c>
      <c r="O10" s="40">
        <f>K10-(1+M10)*L10*(90*POWER(N10,2)-7.5*(5+3*POWER(L10,2)+M10-9*M10*POWER(L10,2))*POWER(N10,4)+0.25*(61+90*POWER(L10,2)+45*POWER(L10,4))*POWER(N10,6))/RADIANS(180)</f>
        <v>22.860590909885879</v>
      </c>
      <c r="P10" s="40">
        <f>J10+(180*N10-30*(1+2*POWER(L10,2)+M10)*POWER(N10,3)+1.5*(5+28*POWER(L10,2)+24*POWER(L10,4))*POWER(N10,5))/RADIANS(180)/COS(RADIANS(K10))</f>
        <v>113.75718127942351</v>
      </c>
      <c r="Q10" s="42">
        <f t="shared" ref="Q10:R13" si="0">9*O10/25+2*INT(O10)/5+INT(60*O10)/250</f>
        <v>22.513812727558914</v>
      </c>
      <c r="R10" s="42">
        <f t="shared" si="0"/>
        <v>113.45258526059247</v>
      </c>
      <c r="S10" s="18">
        <f>D10+52</f>
        <v>102</v>
      </c>
      <c r="T10" s="7">
        <f t="shared" ref="T10:U13" si="1">RADIANS(25*Q10/9-2*INT(Q10)/3-INT(100*Q10)/90)</f>
        <v>0.39899258032899493</v>
      </c>
      <c r="U10" s="7">
        <f t="shared" si="1"/>
        <v>1.9854373611139973</v>
      </c>
      <c r="V10" s="19">
        <f>$R$3/SQRT(1-$R$5*SIN(T10)*SIN(T10))</f>
        <v>6381469.1024055248</v>
      </c>
      <c r="W10" s="20">
        <f>(V10+S10)*COS(T10)*COS(U10)+22</f>
        <v>-2368930.7034233962</v>
      </c>
      <c r="X10" s="20">
        <f>(V10+S10)*COS(T10)*SIN(U10)-118</f>
        <v>5381906.5738240806</v>
      </c>
      <c r="Y10" s="20">
        <f>(V10*(1-$R$5)+S10)*SIN(T10)-30.5</f>
        <v>2462553.732864209</v>
      </c>
      <c r="Z10" s="21">
        <f>ATAN(Y10/SQRT(POWER(W10,2)+POWER(X10,2)))</f>
        <v>0.39659678788913683</v>
      </c>
      <c r="AA10" s="7">
        <f>SQRT(POWER(W10,2)+POWER(X10,2)+POWER(Y10,2))</f>
        <v>6375023.2889171764</v>
      </c>
      <c r="AB10" s="7">
        <f>SIN(Z10)</f>
        <v>0.38628152733893523</v>
      </c>
      <c r="AC10" s="7">
        <f>COS(Z10)</f>
        <v>0.92238093087221806</v>
      </c>
      <c r="AD10" s="20">
        <f>$AN$3/AA10</f>
        <v>1.0004884234836031</v>
      </c>
      <c r="AE10" s="7">
        <f>AD10*TAN(Z10)</f>
        <v>0.41899196240182163</v>
      </c>
      <c r="AF10" s="7">
        <f>POWER(AB10,2)+2*AD10*AC10*AC10</f>
        <v>1.8516176699287112</v>
      </c>
      <c r="AG10" s="7">
        <f>3*POWER(AB10,4)+16*AD10*AB10*AB10*AC10*AC10+4*AD10*AD10*AC10*AC10*(2-5*AB10*AB10)</f>
        <v>6.3704530992144761</v>
      </c>
      <c r="AH10" s="7">
        <f>5*AB10+48*AD10*POWER(AB10,4)*AC10*AC10+20*AD10*AD10*AB10*AB10*AC10*AC10*(4-7*AB10*AB10)+16*POWER(AD10,3)*AC10*AC10*(1-7*AB10*AB10+8*POWER(AB10,4))</f>
        <v>12.17400341817023</v>
      </c>
      <c r="AI10" s="7">
        <f>SQRT(1-$AN$5*SIN(AK10)*SIN(AK10))</f>
        <v>0.99949469150991466</v>
      </c>
      <c r="AJ10" s="7">
        <f>TAN(Z10)+AE10*$AN$5*(1+$AN$5/2*(AF10+$AN$5/4*(AG10+$AN$5/2*AH10)))</f>
        <v>0.42160979285906158</v>
      </c>
      <c r="AK10" s="19">
        <f>ATAN(AJ10)</f>
        <v>0.39899561069105022</v>
      </c>
      <c r="AL10" s="7">
        <f>ATAN(X10/W10)+PI()</f>
        <v>1.9854420211433874</v>
      </c>
      <c r="AM10" s="17">
        <f t="shared" ref="AM10:AN13" si="2">9*AK10*180/PI()/25+2*INT(AK10*180/PI())/5+INT(60*AK10*180/PI())/250</f>
        <v>22.513875233263136</v>
      </c>
      <c r="AN10" s="17">
        <f t="shared" si="2"/>
        <v>113.45268138059842</v>
      </c>
      <c r="AO10" s="29">
        <f>AA10*AC10/COS(AK10)-$AN$3/AI10</f>
        <v>90.873865124769509</v>
      </c>
    </row>
    <row r="11" spans="1:41" ht="24.95" customHeight="1" x14ac:dyDescent="0.15">
      <c r="A11" s="33">
        <v>2</v>
      </c>
      <c r="B11" s="27">
        <v>55000</v>
      </c>
      <c r="C11" s="27">
        <v>175000</v>
      </c>
      <c r="D11" s="27">
        <v>60</v>
      </c>
      <c r="E11" s="38">
        <f>2472721.34852661+0.999845189293312*B11+0.0170794528393774*C11</f>
        <v>2530701.7381846332</v>
      </c>
      <c r="F11" s="38">
        <f>391032.173570315-0.0170794528393774*B11+0.999845189293312*C11</f>
        <v>565065.71179047879</v>
      </c>
      <c r="G11" s="39">
        <v>114</v>
      </c>
      <c r="H11" s="40">
        <f>E11/1000000-3</f>
        <v>-0.46929826181536693</v>
      </c>
      <c r="I11" s="40">
        <f>F11-500000</f>
        <v>65065.711790478788</v>
      </c>
      <c r="J11" s="6">
        <v>114</v>
      </c>
      <c r="K11" s="40">
        <f>27.11115372595+9.02468257083*H11-0.00579740442*POWER(H11,2)-0.00043532572*POWER(H11,3)+0.00004857285*POWER(H11,4)+0.00000215727*POWER(H11,5)-0.00000019399*POWER(H11,6)</f>
        <v>22.874656356273249</v>
      </c>
      <c r="L11" s="40">
        <f>TAN(RADIANS(K11))</f>
        <v>0.42189537812153272</v>
      </c>
      <c r="M11" s="40">
        <f>0.0067385254147*POWER(COS(RADIANS(K11)),2)</f>
        <v>5.7203310309513729E-3</v>
      </c>
      <c r="N11" s="40">
        <f>I11*POWER(1+M11,0.5)/6399698.90178271</f>
        <v>1.0196033613290746E-2</v>
      </c>
      <c r="O11" s="40">
        <f>K11-(1+M11)*L11*(90*POWER(N11,2)-7.5*(5+3*POWER(L11,2)+M11-9*M11*POWER(L11,2))*POWER(N11,4)+0.25*(61+90*POWER(L11,2)+45*POWER(L11,4))*POWER(N11,6))/RADIANS(180)</f>
        <v>22.87339273670257</v>
      </c>
      <c r="P11" s="40">
        <f>J11+(180*N11-30*(1+2*POWER(L11,2)+M11)*POWER(N11,3)+1.5*(5+28*POWER(L11,2)+24*POWER(L11,4))*POWER(N11,5))/RADIANS(180)/COS(RADIANS(K11))</f>
        <v>114.63403830905773</v>
      </c>
      <c r="Q11" s="42">
        <f t="shared" si="0"/>
        <v>22.522421385212922</v>
      </c>
      <c r="R11" s="42">
        <f t="shared" si="0"/>
        <v>114.38025379126078</v>
      </c>
      <c r="S11" s="18">
        <f>D11+52</f>
        <v>112</v>
      </c>
      <c r="T11" s="7">
        <f t="shared" si="1"/>
        <v>0.39921601435721621</v>
      </c>
      <c r="U11" s="7">
        <f t="shared" si="1"/>
        <v>2.0007414033503701</v>
      </c>
      <c r="V11" s="19">
        <f>$R$3/SQRT(1-$R$5*SIN(T11)*SIN(T11))</f>
        <v>6381472.5230292007</v>
      </c>
      <c r="W11" s="20">
        <f>(V11+S11)*COS(T11)*COS(U11)+22</f>
        <v>-2450791.0066335541</v>
      </c>
      <c r="X11" s="20">
        <f>(V11+S11)*COS(T11)*SIN(U11)-118</f>
        <v>5344530.7650461467</v>
      </c>
      <c r="Y11" s="20">
        <f>(V11*(1-$R$5)+S11)*SIN(T11)-30.5</f>
        <v>2463863.9477964444</v>
      </c>
      <c r="Z11" s="21">
        <f>ATAN(Y11/SQRT(POWER(W11,2)+POWER(X11,2)))</f>
        <v>0.396819156119876</v>
      </c>
      <c r="AA11" s="7">
        <f>SQRT(POWER(W11,2)+POWER(X11,2)+POWER(Y11,2))</f>
        <v>6375030.2909062123</v>
      </c>
      <c r="AB11" s="7">
        <f>SIN(Z11)</f>
        <v>0.38648662600255751</v>
      </c>
      <c r="AC11" s="7">
        <f>COS(Z11)</f>
        <v>0.9222950113283489</v>
      </c>
      <c r="AD11" s="20">
        <f>$AN$3/AA11</f>
        <v>1.0004873246011425</v>
      </c>
      <c r="AE11" s="7">
        <f>AD11*TAN(Z11)</f>
        <v>0.41925302174898116</v>
      </c>
      <c r="AF11" s="7">
        <f>POWER(AB11,2)+2*AD11*AC11*AC11</f>
        <v>1.851457151908493</v>
      </c>
      <c r="AG11" s="7">
        <f>3*POWER(AB11,4)+16*AD11*AB11*AB11*AC11*AC11+4*AD11*AD11*AC11*AC11*(2-5*AB11*AB11)</f>
        <v>6.3688682898987317</v>
      </c>
      <c r="AH11" s="7">
        <f>5*AB11+48*AD11*POWER(AB11,4)*AC11*AC11+20*AD11*AD11*AB11*AB11*AC11*AC11*(4-7*AB11*AB11)+16*POWER(AD11,3)*AC11*AC11*(1-7*AB11*AB11+8*POWER(AB11,4))</f>
        <v>12.170223692408417</v>
      </c>
      <c r="AI11" s="7">
        <f>SQRT(1-$AN$5*SIN(AK11)*SIN(AK11))</f>
        <v>0.99949415572985545</v>
      </c>
      <c r="AJ11" s="7">
        <f>TAN(Z11)+AE11*$AN$5*(1+$AN$5/2*(AF11+$AN$5/4*(AG11+$AN$5/2*AH11)))</f>
        <v>0.42187294201301062</v>
      </c>
      <c r="AK11" s="19">
        <f>ATAN(AJ11)</f>
        <v>0.39921902252428443</v>
      </c>
      <c r="AL11" s="7">
        <f>ATAN(X11/W11)+PI()</f>
        <v>2.0007463674333681</v>
      </c>
      <c r="AM11" s="17">
        <f t="shared" si="2"/>
        <v>22.522483433112672</v>
      </c>
      <c r="AN11" s="17">
        <f t="shared" si="2"/>
        <v>114.38035618282255</v>
      </c>
      <c r="AO11" s="29">
        <f>AA11*AC11/COS(AK11)-$AN$3/AI11</f>
        <v>101.27715017367154</v>
      </c>
    </row>
    <row r="12" spans="1:41" ht="24.95" customHeight="1" x14ac:dyDescent="0.15">
      <c r="A12" s="33">
        <v>3</v>
      </c>
      <c r="B12" s="27">
        <v>10000</v>
      </c>
      <c r="C12" s="27">
        <v>175000</v>
      </c>
      <c r="D12" s="27">
        <v>70</v>
      </c>
      <c r="E12" s="38">
        <f>2472721.34852661+0.999845189293312*B12+0.0170794528393774*C12</f>
        <v>2485708.7046664343</v>
      </c>
      <c r="F12" s="38">
        <f>391032.173570315-0.0170794528393774*B12+0.999845189293312*C12</f>
        <v>565834.28716825088</v>
      </c>
      <c r="G12" s="39">
        <v>114</v>
      </c>
      <c r="H12" s="40">
        <f>E12/1000000-3</f>
        <v>-0.51429129533356566</v>
      </c>
      <c r="I12" s="40">
        <f>F12-500000</f>
        <v>65834.287168250885</v>
      </c>
      <c r="J12" s="6">
        <f>25*G12/9-2*INT(G12)/3-INT(100*G12)/90</f>
        <v>114.00000000000001</v>
      </c>
      <c r="K12" s="40">
        <f>27.11115372595+9.02468257083*H12-0.00579740442*POWER(H12,2)-0.00043532572*POWER(H12,3)+0.00004857285*POWER(H12,4)+0.00000215727*POWER(H12,5)-0.00000019399*POWER(H12,6)</f>
        <v>22.468367182259268</v>
      </c>
      <c r="L12" s="40">
        <f>TAN(RADIANS(K12))</f>
        <v>0.41356688853233786</v>
      </c>
      <c r="M12" s="40">
        <f>0.0067385254147*POWER(COS(RADIANS(K12)),2)</f>
        <v>5.7543204248136038E-3</v>
      </c>
      <c r="N12" s="40">
        <f>I12*POWER(1+M12,0.5)/6399698.90178271</f>
        <v>1.0316646496120428E-2</v>
      </c>
      <c r="O12" s="40">
        <f>K12-(1+M12)*L12*(90*POWER(N12,2)-7.5*(5+3*POWER(L12,2)+M12-9*M12*POWER(L12,2))*POWER(N12,4)+0.25*(61+90*POWER(L12,2)+45*POWER(L12,4))*POWER(N12,6))/RADIANS(180)</f>
        <v>22.467098986842181</v>
      </c>
      <c r="P12" s="40">
        <f>J12+(180*N12-30*(1+2*POWER(L12,2)+M12)*POWER(N12,3)+1.5*(5+28*POWER(L12,2)+24*POWER(L12,4))*POWER(N12,5))/RADIANS(180)/COS(RADIANS(K12))</f>
        <v>114.63964088171423</v>
      </c>
      <c r="Q12" s="42">
        <f t="shared" si="0"/>
        <v>22.280155635263185</v>
      </c>
      <c r="R12" s="42">
        <f t="shared" si="0"/>
        <v>114.38227071741713</v>
      </c>
      <c r="S12" s="18">
        <f>D12+52</f>
        <v>122</v>
      </c>
      <c r="T12" s="7">
        <f t="shared" si="1"/>
        <v>0.3921248506918783</v>
      </c>
      <c r="U12" s="7">
        <f t="shared" si="1"/>
        <v>2.000839186689809</v>
      </c>
      <c r="V12" s="19">
        <f>$R$3/SQRT(1-$R$5*SIN(T12)*SIN(T12))</f>
        <v>6381364.6949242931</v>
      </c>
      <c r="W12" s="20">
        <f>(V12+S12)*COS(T12)*COS(U12)+22</f>
        <v>-2458547.5099369893</v>
      </c>
      <c r="X12" s="20">
        <f>(V12+S12)*COS(T12)*SIN(U12)-118</f>
        <v>5360062.4551756606</v>
      </c>
      <c r="Y12" s="20">
        <f>(V12*(1-$R$5)+S12)*SIN(T12)-30.5</f>
        <v>2422349.8640131061</v>
      </c>
      <c r="Z12" s="21">
        <f>ATAN(Y12/SQRT(POWER(W12,2)+POWER(X12,2)))</f>
        <v>0.38976133880669395</v>
      </c>
      <c r="AA12" s="7">
        <f>SQRT(POWER(W12,2)+POWER(X12,2)+POWER(Y12,2))</f>
        <v>6375147.3901146324</v>
      </c>
      <c r="AB12" s="7">
        <f>SIN(Z12)</f>
        <v>0.3799676643977245</v>
      </c>
      <c r="AC12" s="7">
        <f>COS(Z12)</f>
        <v>0.9249997697362623</v>
      </c>
      <c r="AD12" s="20">
        <f>$AN$3/AA12</f>
        <v>1.0004689475713147</v>
      </c>
      <c r="AE12" s="7">
        <f>AD12*TAN(Z12)</f>
        <v>0.41096858804571362</v>
      </c>
      <c r="AF12" s="7">
        <f>POWER(AB12,2)+2*AD12*AC12*AC12</f>
        <v>1.8564270601440187</v>
      </c>
      <c r="AG12" s="7">
        <f>3*POWER(AB12,4)+16*AD12*AB12*AB12*AC12*AC12+4*AD12*AD12*AC12*AC12*(2-5*AB12*AB12)</f>
        <v>6.4184352732556862</v>
      </c>
      <c r="AH12" s="7">
        <f>5*AB12+48*AD12*POWER(AB12,4)*AC12*AC12+20*AD12*AD12*AB12*AB12*AC12*AC12*(4-7*AB12*AB12)+16*POWER(AD12,3)*AC12*AC12*(1-7*AB12*AB12+8*POWER(AB12,4))</f>
        <v>12.289227776430064</v>
      </c>
      <c r="AI12" s="7">
        <f>SQRT(1-$AN$5*SIN(AK12)*SIN(AK12))</f>
        <v>0.9995110473713682</v>
      </c>
      <c r="AJ12" s="7">
        <f>TAN(Z12)+AE12*$AN$5*(1+$AN$5/2*(AF12+$AN$5/4*(AG12+$AN$5/2*AH12)))</f>
        <v>0.41354433042445704</v>
      </c>
      <c r="AK12" s="19">
        <f>ATAN(AJ12)</f>
        <v>0.39212772137290652</v>
      </c>
      <c r="AL12" s="7">
        <f>ATAN(X12/W12)+PI()</f>
        <v>2.0008441380972104</v>
      </c>
      <c r="AM12" s="17">
        <f t="shared" si="2"/>
        <v>22.280214847309797</v>
      </c>
      <c r="AN12" s="17">
        <f t="shared" si="2"/>
        <v>114.38237284752597</v>
      </c>
      <c r="AO12" s="29">
        <f>AA12*AC12/COS(AK12)-$AN$3/AI12</f>
        <v>111.14751826412976</v>
      </c>
    </row>
    <row r="13" spans="1:41" ht="24.95" customHeight="1" x14ac:dyDescent="0.15">
      <c r="A13" s="33">
        <v>4</v>
      </c>
      <c r="B13" s="27">
        <v>10000</v>
      </c>
      <c r="C13" s="27">
        <v>85000</v>
      </c>
      <c r="D13" s="27">
        <v>80</v>
      </c>
      <c r="E13" s="38">
        <f>2472721.34852661+0.999845189293312*B13+0.0170794528393774*C13</f>
        <v>2484171.5539108906</v>
      </c>
      <c r="F13" s="38">
        <f>391032.173570315-0.0170794528393774*B13+0.999845189293312*C13</f>
        <v>475848.22013185278</v>
      </c>
      <c r="G13" s="39">
        <v>114</v>
      </c>
      <c r="H13" s="40">
        <f>E13/1000000-3</f>
        <v>-0.5158284460891096</v>
      </c>
      <c r="I13" s="40">
        <f>F13-500000</f>
        <v>-24151.77986814722</v>
      </c>
      <c r="J13" s="6">
        <f>25*G13/9-2*INT(G13)/3-INT(100*G13)/90</f>
        <v>114.00000000000001</v>
      </c>
      <c r="K13" s="40">
        <f>27.11115372595+9.02468257083*H13-0.00579740442*POWER(H13,2)-0.00043532572*POWER(H13,3)+0.00004857285*POWER(H13,4)+0.00000215727*POWER(H13,5)-0.00000019399*POWER(H13,6)</f>
        <v>22.454486276866017</v>
      </c>
      <c r="L13" s="40">
        <f>TAN(RADIANS(K13))</f>
        <v>0.41328321260190132</v>
      </c>
      <c r="M13" s="40">
        <f>0.0067385254147*POWER(COS(RADIANS(K13)),2)</f>
        <v>5.7554732394499456E-3</v>
      </c>
      <c r="N13" s="40">
        <f>I13*POWER(1+M13,0.5)/6399698.90178271</f>
        <v>-3.7847378420609434E-3</v>
      </c>
      <c r="O13" s="40">
        <f>K13-(1+M13)*L13*(90*POWER(N13,2)-7.5*(5+3*POWER(L13,2)+M13-9*M13*POWER(L13,2))*POWER(N13,4)+0.25*(61+90*POWER(L13,2)+45*POWER(L13,4))*POWER(N13,6))/RADIANS(180)</f>
        <v>22.454315707295802</v>
      </c>
      <c r="P13" s="40">
        <f>J13+(180*N13-30*(1+2*POWER(L13,2)+M13)*POWER(N13,3)+1.5*(5+28*POWER(L13,2)+24*POWER(L13,4))*POWER(N13,5))/RADIANS(180)/COS(RADIANS(K13))</f>
        <v>113.76536167277136</v>
      </c>
      <c r="Q13" s="42">
        <f t="shared" si="0"/>
        <v>22.271553654626487</v>
      </c>
      <c r="R13" s="42">
        <f t="shared" si="0"/>
        <v>113.45553020219769</v>
      </c>
      <c r="S13" s="18">
        <f>D13+52</f>
        <v>132</v>
      </c>
      <c r="T13" s="7">
        <f t="shared" si="1"/>
        <v>0.39190174037459108</v>
      </c>
      <c r="U13" s="7">
        <f t="shared" si="1"/>
        <v>1.9855801359120246</v>
      </c>
      <c r="V13" s="19">
        <f>$R$3/SQRT(1-$R$5*SIN(T13)*SIN(T13))</f>
        <v>6381361.3269845517</v>
      </c>
      <c r="W13" s="20">
        <f>(V13+S13)*COS(T13)*COS(U13)+22</f>
        <v>-2376694.8775855904</v>
      </c>
      <c r="X13" s="20">
        <f>(V13+S13)*COS(T13)*SIN(U13)-118</f>
        <v>5397455.8571776655</v>
      </c>
      <c r="Y13" s="20">
        <f>(V13*(1-$R$5)+S13)*SIN(T13)-30.5</f>
        <v>2421045.4421491991</v>
      </c>
      <c r="Z13" s="21">
        <f>ATAN(Y13/SQRT(POWER(W13,2)+POWER(X13,2)))</f>
        <v>0.38953931469673991</v>
      </c>
      <c r="AA13" s="7">
        <f>SQRT(POWER(W13,2)+POWER(X13,2)+POWER(Y13,2))</f>
        <v>6375160.3355738819</v>
      </c>
      <c r="AB13" s="7">
        <f>SIN(Z13)</f>
        <v>0.37976228278363144</v>
      </c>
      <c r="AC13" s="7">
        <f>COS(Z13)</f>
        <v>0.92508410891927295</v>
      </c>
      <c r="AD13" s="20">
        <f>$AN$3/AA13</f>
        <v>1.0004669160098623</v>
      </c>
      <c r="AE13" s="7">
        <f>AD13*TAN(Z13)</f>
        <v>0.41070816827376744</v>
      </c>
      <c r="AF13" s="7">
        <f>POWER(AB13,2)+2*AD13*AC13*AC13</f>
        <v>1.8565797639091119</v>
      </c>
      <c r="AG13" s="7">
        <f>3*POWER(AB13,4)+16*AD13*AB13*AB13*AC13*AC13+4*AD13*AD13*AC13*AC13*(2-5*AB13*AB13)</f>
        <v>6.4199730856781922</v>
      </c>
      <c r="AH13" s="7">
        <f>5*AB13+48*AD13*POWER(AB13,4)*AC13*AC13+20*AD13*AD13*AB13*AB13*AC13*AC13*(4-7*AB13*AB13)+16*POWER(AD13,3)*AC13*AC13*(1-7*AB13*AB13+8*POWER(AB13,4))</f>
        <v>12.292944637950903</v>
      </c>
      <c r="AI13" s="7">
        <f>SQRT(1-$AN$5*SIN(AK13)*SIN(AK13))</f>
        <v>0.99951157491833864</v>
      </c>
      <c r="AJ13" s="7">
        <f>TAN(Z13)+AE13*$AN$5*(1+$AN$5/2*(AF13+$AN$5/4*(AG13+$AN$5/2*AH13)))</f>
        <v>0.41328311350140562</v>
      </c>
      <c r="AK13" s="19">
        <f>ATAN(AJ13)</f>
        <v>0.39190463273200743</v>
      </c>
      <c r="AL13" s="7">
        <f>ATAN(X13/W13)+PI()</f>
        <v>1.985584785053633</v>
      </c>
      <c r="AM13" s="17">
        <f t="shared" si="2"/>
        <v>22.271613313780698</v>
      </c>
      <c r="AN13" s="17">
        <f t="shared" si="2"/>
        <v>113.45562609762702</v>
      </c>
      <c r="AO13" s="29">
        <f>AA13*AC13/COS(AK13)-$AN$3/AI13</f>
        <v>120.7442300291732</v>
      </c>
    </row>
  </sheetData>
  <mergeCells count="17">
    <mergeCell ref="AM7:AO7"/>
    <mergeCell ref="AH4:AL4"/>
    <mergeCell ref="AN4:AO4"/>
    <mergeCell ref="AM2:AO2"/>
    <mergeCell ref="AE3:AG3"/>
    <mergeCell ref="AH3:AL3"/>
    <mergeCell ref="AH5:AL5"/>
    <mergeCell ref="AN5:AO5"/>
    <mergeCell ref="Q2:S2"/>
    <mergeCell ref="A7:A9"/>
    <mergeCell ref="W8:Y8"/>
    <mergeCell ref="AE4:AG4"/>
    <mergeCell ref="R5:S5"/>
    <mergeCell ref="AD5:AG5"/>
    <mergeCell ref="B7:C7"/>
    <mergeCell ref="E7:F7"/>
    <mergeCell ref="Q7:S7"/>
  </mergeCells>
  <phoneticPr fontId="2" type="noConversion"/>
  <pageMargins left="0.75" right="0.75" top="1" bottom="1" header="0.5" footer="0.5"/>
  <pageSetup paperSize="9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6145" r:id="rId4">
          <objectPr defaultSize="0" autoPict="0" r:id="rId5">
            <anchor moveWithCells="1" sizeWithCells="1">
              <from>
                <xdr:col>0</xdr:col>
                <xdr:colOff>381000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45" r:id="rId4"/>
      </mc:Fallback>
    </mc:AlternateContent>
    <mc:AlternateContent xmlns:mc="http://schemas.openxmlformats.org/markup-compatibility/2006">
      <mc:Choice Requires="x14">
        <oleObject progId="Equation.3" shapeId="6146" r:id="rId6">
          <objectPr defaultSize="0" autoPict="0" r:id="rId7">
            <anchor moveWithCells="1" sizeWithCells="1">
              <from>
                <xdr:col>0</xdr:col>
                <xdr:colOff>333375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46" r:id="rId6"/>
      </mc:Fallback>
    </mc:AlternateContent>
    <mc:AlternateContent xmlns:mc="http://schemas.openxmlformats.org/markup-compatibility/2006">
      <mc:Choice Requires="x14">
        <oleObject progId="Equation.3" shapeId="6147" r:id="rId8">
          <objectPr defaultSize="0" autoPict="0" r:id="rId9">
            <anchor moveWithCells="1" sizeWithCells="1">
              <from>
                <xdr:col>0</xdr:col>
                <xdr:colOff>304800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47" r:id="rId8"/>
      </mc:Fallback>
    </mc:AlternateContent>
    <mc:AlternateContent xmlns:mc="http://schemas.openxmlformats.org/markup-compatibility/2006">
      <mc:Choice Requires="x14">
        <oleObject progId="Equation.3" shapeId="6148" r:id="rId10">
          <objectPr defaultSize="0" autoPict="0" r:id="rId11">
            <anchor moveWithCells="1" sizeWithCells="1">
              <from>
                <xdr:col>0</xdr:col>
                <xdr:colOff>314325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48" r:id="rId10"/>
      </mc:Fallback>
    </mc:AlternateContent>
    <mc:AlternateContent xmlns:mc="http://schemas.openxmlformats.org/markup-compatibility/2006">
      <mc:Choice Requires="x14">
        <oleObject progId="Equation.3" shapeId="6149" r:id="rId12">
          <objectPr defaultSize="0" autoPict="0" r:id="rId13">
            <anchor moveWithCells="1" sizeWithCells="1">
              <from>
                <xdr:col>0</xdr:col>
                <xdr:colOff>333375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49" r:id="rId12"/>
      </mc:Fallback>
    </mc:AlternateContent>
    <mc:AlternateContent xmlns:mc="http://schemas.openxmlformats.org/markup-compatibility/2006">
      <mc:Choice Requires="x14">
        <oleObject progId="Equation.3" shapeId="6169" r:id="rId14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69" r:id="rId14"/>
      </mc:Fallback>
    </mc:AlternateContent>
    <mc:AlternateContent xmlns:mc="http://schemas.openxmlformats.org/markup-compatibility/2006">
      <mc:Choice Requires="x14">
        <oleObject progId="Equation.3" shapeId="6170" r:id="rId15">
          <objectPr defaultSize="0" autoPict="0" r:id="rId7">
            <anchor moveWithCells="1" sizeWithCells="1">
              <from>
                <xdr:col>0</xdr:col>
                <xdr:colOff>333375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0" r:id="rId15"/>
      </mc:Fallback>
    </mc:AlternateContent>
    <mc:AlternateContent xmlns:mc="http://schemas.openxmlformats.org/markup-compatibility/2006">
      <mc:Choice Requires="x14">
        <oleObject progId="Equation.3" shapeId="6171" r:id="rId16">
          <objectPr defaultSize="0" autoPict="0" r:id="rId9">
            <anchor moveWithCells="1" sizeWithCells="1">
              <from>
                <xdr:col>0</xdr:col>
                <xdr:colOff>304800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1" r:id="rId16"/>
      </mc:Fallback>
    </mc:AlternateContent>
    <mc:AlternateContent xmlns:mc="http://schemas.openxmlformats.org/markup-compatibility/2006">
      <mc:Choice Requires="x14">
        <oleObject progId="Equation.3" shapeId="6172" r:id="rId17">
          <objectPr defaultSize="0" autoPict="0" r:id="rId11">
            <anchor moveWithCells="1" sizeWithCells="1">
              <from>
                <xdr:col>0</xdr:col>
                <xdr:colOff>314325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2" r:id="rId17"/>
      </mc:Fallback>
    </mc:AlternateContent>
    <mc:AlternateContent xmlns:mc="http://schemas.openxmlformats.org/markup-compatibility/2006">
      <mc:Choice Requires="x14">
        <oleObject progId="Equation.3" shapeId="6173" r:id="rId18">
          <objectPr defaultSize="0" autoPict="0" r:id="rId13">
            <anchor moveWithCells="1" sizeWithCells="1">
              <from>
                <xdr:col>0</xdr:col>
                <xdr:colOff>333375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3" r:id="rId18"/>
      </mc:Fallback>
    </mc:AlternateContent>
    <mc:AlternateContent xmlns:mc="http://schemas.openxmlformats.org/markup-compatibility/2006">
      <mc:Choice Requires="x14">
        <oleObject progId="Equation.3" shapeId="6174" r:id="rId19">
          <objectPr defaultSize="0" autoPict="0" r:id="rId20">
            <anchor moveWithCells="1" sizeWithCells="1">
              <from>
                <xdr:col>0</xdr:col>
                <xdr:colOff>314325</xdr:colOff>
                <xdr:row>0</xdr:row>
                <xdr:rowOff>0</xdr:rowOff>
              </from>
              <to>
                <xdr:col>18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Equation.3" shapeId="6174" r:id="rId19"/>
      </mc:Fallback>
    </mc:AlternateContent>
    <mc:AlternateContent xmlns:mc="http://schemas.openxmlformats.org/markup-compatibility/2006">
      <mc:Choice Requires="x14">
        <oleObject progId="Equation.3" shapeId="6175" r:id="rId21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5" r:id="rId21"/>
      </mc:Fallback>
    </mc:AlternateContent>
    <mc:AlternateContent xmlns:mc="http://schemas.openxmlformats.org/markup-compatibility/2006">
      <mc:Choice Requires="x14">
        <oleObject progId="Equation.3" shapeId="6176" r:id="rId22">
          <objectPr defaultSize="0" autoPict="0" r:id="rId7">
            <anchor moveWithCells="1" sizeWithCells="1">
              <from>
                <xdr:col>0</xdr:col>
                <xdr:colOff>333375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6" r:id="rId22"/>
      </mc:Fallback>
    </mc:AlternateContent>
    <mc:AlternateContent xmlns:mc="http://schemas.openxmlformats.org/markup-compatibility/2006">
      <mc:Choice Requires="x14">
        <oleObject progId="Equation.3" shapeId="6177" r:id="rId23">
          <objectPr defaultSize="0" autoPict="0" r:id="rId9">
            <anchor moveWithCells="1" sizeWithCells="1">
              <from>
                <xdr:col>0</xdr:col>
                <xdr:colOff>304800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7" r:id="rId23"/>
      </mc:Fallback>
    </mc:AlternateContent>
    <mc:AlternateContent xmlns:mc="http://schemas.openxmlformats.org/markup-compatibility/2006">
      <mc:Choice Requires="x14">
        <oleObject progId="Equation.3" shapeId="6178" r:id="rId24">
          <objectPr defaultSize="0" autoPict="0" r:id="rId11">
            <anchor moveWithCells="1" sizeWithCells="1">
              <from>
                <xdr:col>0</xdr:col>
                <xdr:colOff>314325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8" r:id="rId24"/>
      </mc:Fallback>
    </mc:AlternateContent>
    <mc:AlternateContent xmlns:mc="http://schemas.openxmlformats.org/markup-compatibility/2006">
      <mc:Choice Requires="x14">
        <oleObject progId="Equation.3" shapeId="6179" r:id="rId25">
          <objectPr defaultSize="0" autoPict="0" r:id="rId13">
            <anchor moveWithCells="1" sizeWithCells="1">
              <from>
                <xdr:col>0</xdr:col>
                <xdr:colOff>333375</xdr:colOff>
                <xdr:row>0</xdr:row>
                <xdr:rowOff>0</xdr:rowOff>
              </from>
              <to>
                <xdr:col>0</xdr:col>
                <xdr:colOff>504825</xdr:colOff>
                <xdr:row>0</xdr:row>
                <xdr:rowOff>0</xdr:rowOff>
              </to>
            </anchor>
          </objectPr>
        </oleObject>
      </mc:Choice>
      <mc:Fallback>
        <oleObject progId="Equation.3" shapeId="6179" r:id="rId25"/>
      </mc:Fallback>
    </mc:AlternateContent>
    <mc:AlternateContent xmlns:mc="http://schemas.openxmlformats.org/markup-compatibility/2006">
      <mc:Choice Requires="x14">
        <oleObject progId="Equation.3" shapeId="6180" r:id="rId26">
          <objectPr defaultSize="0" autoPict="0" r:id="rId20">
            <anchor moveWithCells="1" sizeWithCells="1">
              <from>
                <xdr:col>0</xdr:col>
                <xdr:colOff>314325</xdr:colOff>
                <xdr:row>0</xdr:row>
                <xdr:rowOff>0</xdr:rowOff>
              </from>
              <to>
                <xdr:col>18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Equation.3" shapeId="6180" r:id="rId26"/>
      </mc:Fallback>
    </mc:AlternateContent>
    <mc:AlternateContent xmlns:mc="http://schemas.openxmlformats.org/markup-compatibility/2006">
      <mc:Choice Requires="x14">
        <oleObject progId="Equation.3" shapeId="6181" r:id="rId27">
          <objectPr defaultSize="0" autoPict="0" r:id="rId5">
            <anchor moveWithCells="1" sizeWithCells="1">
              <from>
                <xdr:col>0</xdr:col>
                <xdr:colOff>381000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81" r:id="rId27"/>
      </mc:Fallback>
    </mc:AlternateContent>
    <mc:AlternateContent xmlns:mc="http://schemas.openxmlformats.org/markup-compatibility/2006">
      <mc:Choice Requires="x14">
        <oleObject progId="Equation.3" shapeId="6182" r:id="rId28">
          <objectPr defaultSize="0" autoPict="0" r:id="rId7">
            <anchor moveWithCells="1" sizeWithCells="1">
              <from>
                <xdr:col>0</xdr:col>
                <xdr:colOff>333375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82" r:id="rId28"/>
      </mc:Fallback>
    </mc:AlternateContent>
    <mc:AlternateContent xmlns:mc="http://schemas.openxmlformats.org/markup-compatibility/2006">
      <mc:Choice Requires="x14">
        <oleObject progId="Equation.3" shapeId="6183" r:id="rId29">
          <objectPr defaultSize="0" autoPict="0" r:id="rId9">
            <anchor moveWithCells="1" sizeWithCells="1">
              <from>
                <xdr:col>0</xdr:col>
                <xdr:colOff>304800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83" r:id="rId29"/>
      </mc:Fallback>
    </mc:AlternateContent>
    <mc:AlternateContent xmlns:mc="http://schemas.openxmlformats.org/markup-compatibility/2006">
      <mc:Choice Requires="x14">
        <oleObject progId="Equation.3" shapeId="6184" r:id="rId30">
          <objectPr defaultSize="0" autoPict="0" r:id="rId11">
            <anchor moveWithCells="1" sizeWithCells="1">
              <from>
                <xdr:col>0</xdr:col>
                <xdr:colOff>314325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84" r:id="rId30"/>
      </mc:Fallback>
    </mc:AlternateContent>
    <mc:AlternateContent xmlns:mc="http://schemas.openxmlformats.org/markup-compatibility/2006">
      <mc:Choice Requires="x14">
        <oleObject progId="Equation.3" shapeId="6185" r:id="rId31">
          <objectPr defaultSize="0" autoPict="0" r:id="rId13">
            <anchor moveWithCells="1" sizeWithCells="1">
              <from>
                <xdr:col>0</xdr:col>
                <xdr:colOff>333375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6185" r:id="rId3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24"/>
  <sheetViews>
    <sheetView tabSelected="1" topLeftCell="AE4" workbookViewId="0">
      <selection activeCell="AM15" sqref="AM15"/>
    </sheetView>
  </sheetViews>
  <sheetFormatPr defaultRowHeight="14.25" x14ac:dyDescent="0.15"/>
  <cols>
    <col min="1" max="1" width="6.625" customWidth="1"/>
    <col min="2" max="2" width="12.625" customWidth="1"/>
    <col min="3" max="4" width="11.25" bestFit="1" customWidth="1"/>
    <col min="5" max="6" width="10.625" customWidth="1"/>
    <col min="7" max="7" width="15.125" bestFit="1" customWidth="1"/>
    <col min="8" max="8" width="16.125" bestFit="1" customWidth="1"/>
    <col min="9" max="10" width="15.125" bestFit="1" customWidth="1"/>
    <col min="11" max="11" width="8.625" customWidth="1"/>
    <col min="12" max="12" width="12.75" bestFit="1" customWidth="1"/>
    <col min="13" max="13" width="21" customWidth="1"/>
    <col min="14" max="14" width="8.625" customWidth="1"/>
    <col min="15" max="15" width="12.75" bestFit="1" customWidth="1"/>
    <col min="16" max="16" width="9.75" bestFit="1" customWidth="1"/>
    <col min="17" max="20" width="5.625" customWidth="1"/>
    <col min="21" max="21" width="18.375" bestFit="1" customWidth="1"/>
    <col min="22" max="22" width="14.75" bestFit="1" customWidth="1"/>
    <col min="23" max="23" width="11.625" bestFit="1" customWidth="1"/>
    <col min="24" max="25" width="12.625" customWidth="1"/>
    <col min="26" max="26" width="6.625" customWidth="1"/>
    <col min="27" max="27" width="12.75" bestFit="1" customWidth="1"/>
    <col min="28" max="28" width="15" bestFit="1" customWidth="1"/>
    <col min="30" max="31" width="10.625" customWidth="1"/>
    <col min="34" max="34" width="12.75" bestFit="1" customWidth="1"/>
    <col min="35" max="35" width="11.625" customWidth="1"/>
    <col min="36" max="36" width="13.875" bestFit="1" customWidth="1"/>
    <col min="37" max="37" width="10.625" customWidth="1"/>
    <col min="38" max="38" width="12.75" bestFit="1" customWidth="1"/>
    <col min="39" max="39" width="10.625" customWidth="1"/>
  </cols>
  <sheetData>
    <row r="2" spans="1:40" ht="30" customHeight="1" x14ac:dyDescent="0.2">
      <c r="B2" s="57" t="s">
        <v>39</v>
      </c>
      <c r="C2" s="78"/>
      <c r="D2" s="79"/>
      <c r="E2" s="10"/>
      <c r="F2" s="10"/>
      <c r="G2" s="10"/>
      <c r="H2" s="10"/>
      <c r="I2" s="10"/>
      <c r="J2" s="10"/>
      <c r="K2" s="10"/>
      <c r="L2" s="10" t="s">
        <v>96</v>
      </c>
      <c r="M2" s="10" t="s">
        <v>97</v>
      </c>
      <c r="N2" s="10"/>
      <c r="O2" s="10">
        <v>6.7385254061465196E-3</v>
      </c>
      <c r="P2" s="10"/>
      <c r="Q2" s="10"/>
      <c r="R2" s="10"/>
      <c r="S2" s="10"/>
      <c r="T2" s="10"/>
      <c r="U2" s="10"/>
      <c r="V2" s="10"/>
      <c r="W2" s="10"/>
      <c r="X2" s="57" t="s">
        <v>40</v>
      </c>
      <c r="Y2" s="58"/>
      <c r="Z2" s="59"/>
      <c r="AB2" s="48">
        <f>1/298.3</f>
        <v>3.352329869259135E-3</v>
      </c>
      <c r="AC2">
        <v>3.3523298692591302E-3</v>
      </c>
      <c r="AF2">
        <f>1/298.257223563</f>
        <v>3.3528106647474805E-3</v>
      </c>
      <c r="AG2">
        <v>3.3528106647474801E-3</v>
      </c>
      <c r="AL2" s="84" t="s">
        <v>55</v>
      </c>
      <c r="AM2" s="58"/>
      <c r="AN2" s="59"/>
    </row>
    <row r="3" spans="1:40" ht="24.95" customHeight="1" x14ac:dyDescent="0.15">
      <c r="B3" s="8" t="s">
        <v>41</v>
      </c>
      <c r="C3" s="23">
        <v>6378137</v>
      </c>
      <c r="D3" s="24"/>
      <c r="L3">
        <f>(Y3*Y3-Y4*Y4)/(Y4*Y4)</f>
        <v>6.7385254061465213E-3</v>
      </c>
      <c r="M3">
        <f>(Y3*Y3-Y4*Y4)/(Y3*Y3)</f>
        <v>6.6934216145428738E-3</v>
      </c>
      <c r="O3">
        <v>6.6934216145428703E-3</v>
      </c>
      <c r="P3" s="66"/>
      <c r="Q3" s="66"/>
      <c r="R3" s="66"/>
      <c r="S3" s="75"/>
      <c r="T3" s="75"/>
      <c r="U3" s="75"/>
      <c r="V3" s="75"/>
      <c r="W3" s="75"/>
      <c r="X3" s="8" t="s">
        <v>41</v>
      </c>
      <c r="Y3" s="25">
        <v>6378245</v>
      </c>
      <c r="Z3" s="26"/>
      <c r="AL3" s="35" t="s">
        <v>51</v>
      </c>
      <c r="AM3" s="85">
        <v>55000</v>
      </c>
      <c r="AN3" s="86"/>
    </row>
    <row r="4" spans="1:40" ht="24.95" customHeight="1" x14ac:dyDescent="0.15">
      <c r="B4" s="8" t="s">
        <v>42</v>
      </c>
      <c r="C4" s="76">
        <v>6356752.3141999999</v>
      </c>
      <c r="D4" s="77"/>
      <c r="P4" s="66"/>
      <c r="Q4" s="66"/>
      <c r="R4" s="66"/>
      <c r="S4" s="75"/>
      <c r="T4" s="75"/>
      <c r="U4" s="75"/>
      <c r="V4" s="75"/>
      <c r="W4" s="75"/>
      <c r="X4" s="8" t="s">
        <v>42</v>
      </c>
      <c r="Y4" s="25">
        <v>6356863.0187999997</v>
      </c>
      <c r="Z4" s="26"/>
      <c r="AL4" s="35" t="s">
        <v>52</v>
      </c>
      <c r="AM4" s="85">
        <v>85000</v>
      </c>
      <c r="AN4" s="86"/>
    </row>
    <row r="5" spans="1:40" ht="24.95" customHeight="1" x14ac:dyDescent="0.15">
      <c r="A5" s="9"/>
      <c r="B5" s="28" t="s">
        <v>43</v>
      </c>
      <c r="C5" s="67">
        <v>6.69437999013E-3</v>
      </c>
      <c r="D5" s="68"/>
      <c r="L5" s="45"/>
      <c r="O5" s="66"/>
      <c r="P5" s="66"/>
      <c r="Q5" s="66"/>
      <c r="R5" s="66"/>
      <c r="S5" s="80"/>
      <c r="T5" s="80"/>
      <c r="U5" s="80"/>
      <c r="V5" s="80"/>
      <c r="W5" s="80"/>
      <c r="X5" s="8" t="s">
        <v>43</v>
      </c>
      <c r="Y5" s="67">
        <v>6.6934216229659997E-3</v>
      </c>
      <c r="Z5" s="68"/>
      <c r="AF5" s="45" t="s">
        <v>82</v>
      </c>
      <c r="AL5" s="35" t="s">
        <v>53</v>
      </c>
      <c r="AM5" s="85">
        <v>50</v>
      </c>
      <c r="AN5" s="86"/>
    </row>
    <row r="6" spans="1:40" ht="24.95" customHeight="1" x14ac:dyDescent="0.15">
      <c r="AB6" s="45" t="s">
        <v>94</v>
      </c>
      <c r="AF6" s="45" t="s">
        <v>81</v>
      </c>
    </row>
    <row r="7" spans="1:40" s="1" customFormat="1" ht="24.95" customHeight="1" x14ac:dyDescent="0.15">
      <c r="A7" s="60" t="s">
        <v>0</v>
      </c>
      <c r="B7" s="73" t="s">
        <v>45</v>
      </c>
      <c r="C7" s="74"/>
      <c r="D7" s="70"/>
      <c r="X7" s="73" t="s">
        <v>46</v>
      </c>
      <c r="Y7" s="74"/>
      <c r="Z7" s="70"/>
      <c r="AA7" s="73" t="s">
        <v>38</v>
      </c>
      <c r="AB7" s="82"/>
      <c r="AC7" s="82"/>
      <c r="AD7" s="82"/>
      <c r="AE7" s="82"/>
      <c r="AF7" s="82"/>
      <c r="AG7" s="82"/>
      <c r="AH7" s="82"/>
      <c r="AI7" s="83"/>
      <c r="AJ7" s="81" t="s">
        <v>54</v>
      </c>
      <c r="AK7" s="70"/>
      <c r="AL7" s="69" t="s">
        <v>29</v>
      </c>
      <c r="AM7" s="70"/>
      <c r="AN7" s="2" t="s">
        <v>49</v>
      </c>
    </row>
    <row r="8" spans="1:40" ht="24.95" customHeight="1" x14ac:dyDescent="0.2">
      <c r="A8" s="61"/>
      <c r="B8" s="11" t="s">
        <v>35</v>
      </c>
      <c r="C8" s="11" t="s">
        <v>36</v>
      </c>
      <c r="D8" s="2" t="s">
        <v>37</v>
      </c>
      <c r="E8" s="2" t="s">
        <v>3</v>
      </c>
      <c r="F8" s="2" t="s">
        <v>7</v>
      </c>
      <c r="G8" s="7" t="s">
        <v>6</v>
      </c>
      <c r="H8" s="89" t="s">
        <v>10</v>
      </c>
      <c r="I8" s="64"/>
      <c r="J8" s="65"/>
      <c r="K8" s="12" t="s">
        <v>17</v>
      </c>
      <c r="L8" s="13" t="s">
        <v>11</v>
      </c>
      <c r="M8" s="13" t="s">
        <v>18</v>
      </c>
      <c r="N8" s="13" t="s">
        <v>19</v>
      </c>
      <c r="O8" s="14" t="s">
        <v>20</v>
      </c>
      <c r="P8" s="7" t="s">
        <v>12</v>
      </c>
      <c r="Q8" s="7" t="s">
        <v>13</v>
      </c>
      <c r="R8" s="3" t="s">
        <v>14</v>
      </c>
      <c r="S8" s="3" t="s">
        <v>15</v>
      </c>
      <c r="T8" s="3" t="s">
        <v>16</v>
      </c>
      <c r="U8" s="3" t="s">
        <v>24</v>
      </c>
      <c r="V8" s="3" t="s">
        <v>21</v>
      </c>
      <c r="W8" s="3" t="s">
        <v>22</v>
      </c>
      <c r="X8" s="11" t="s">
        <v>35</v>
      </c>
      <c r="Y8" s="11" t="s">
        <v>36</v>
      </c>
      <c r="Z8" s="11" t="s">
        <v>37</v>
      </c>
      <c r="AA8" s="30" t="s">
        <v>28</v>
      </c>
      <c r="AB8" s="31" t="s">
        <v>25</v>
      </c>
      <c r="AC8" s="15"/>
      <c r="AD8" s="15" t="s">
        <v>83</v>
      </c>
      <c r="AE8" s="15" t="s">
        <v>84</v>
      </c>
      <c r="AF8" s="15"/>
      <c r="AG8" s="15"/>
      <c r="AH8" s="32" t="s">
        <v>26</v>
      </c>
      <c r="AI8" s="32" t="s">
        <v>27</v>
      </c>
      <c r="AJ8" s="4" t="s">
        <v>26</v>
      </c>
      <c r="AK8" s="4" t="s">
        <v>27</v>
      </c>
      <c r="AL8" s="4" t="s">
        <v>26</v>
      </c>
      <c r="AM8" s="4" t="s">
        <v>27</v>
      </c>
      <c r="AN8" s="34" t="s">
        <v>8</v>
      </c>
    </row>
    <row r="9" spans="1:40" ht="24.95" customHeight="1" x14ac:dyDescent="0.15">
      <c r="A9" s="62"/>
      <c r="B9" s="2" t="s">
        <v>4</v>
      </c>
      <c r="C9" s="2" t="s">
        <v>4</v>
      </c>
      <c r="D9" s="2" t="s">
        <v>30</v>
      </c>
      <c r="E9" s="3" t="s">
        <v>5</v>
      </c>
      <c r="F9" s="3" t="s">
        <v>5</v>
      </c>
      <c r="G9" s="3"/>
      <c r="H9" s="4" t="s">
        <v>2</v>
      </c>
      <c r="I9" s="4" t="s">
        <v>1</v>
      </c>
      <c r="J9" s="4" t="s">
        <v>9</v>
      </c>
      <c r="K9" s="3" t="s">
        <v>5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7" t="s">
        <v>23</v>
      </c>
      <c r="W9" s="7" t="s">
        <v>23</v>
      </c>
      <c r="X9" s="2" t="s">
        <v>4</v>
      </c>
      <c r="Y9" s="2" t="s">
        <v>4</v>
      </c>
      <c r="Z9" s="2" t="s">
        <v>30</v>
      </c>
      <c r="AA9" s="2" t="s">
        <v>4</v>
      </c>
      <c r="AB9" s="7" t="s">
        <v>23</v>
      </c>
      <c r="AC9" s="3" t="s">
        <v>31</v>
      </c>
      <c r="AD9" s="3" t="s">
        <v>32</v>
      </c>
      <c r="AE9" s="7" t="s">
        <v>33</v>
      </c>
      <c r="AF9" s="7" t="s">
        <v>34</v>
      </c>
      <c r="AG9" s="3" t="s">
        <v>6</v>
      </c>
      <c r="AH9" s="4" t="s">
        <v>44</v>
      </c>
      <c r="AI9" s="4" t="s">
        <v>44</v>
      </c>
      <c r="AJ9" s="4" t="s">
        <v>44</v>
      </c>
      <c r="AK9" s="4" t="s">
        <v>1</v>
      </c>
      <c r="AL9" s="4" t="s">
        <v>44</v>
      </c>
      <c r="AM9" s="4" t="s">
        <v>1</v>
      </c>
      <c r="AN9" s="2" t="s">
        <v>50</v>
      </c>
    </row>
    <row r="10" spans="1:40" ht="24.95" customHeight="1" x14ac:dyDescent="0.15">
      <c r="A10" s="33">
        <v>1</v>
      </c>
      <c r="B10" s="7">
        <v>22.5138752338</v>
      </c>
      <c r="C10" s="41">
        <v>113.45268138138168</v>
      </c>
      <c r="D10" s="7">
        <v>90.873999999999995</v>
      </c>
      <c r="E10" s="7">
        <f t="shared" ref="E10:F13" si="0">RADIANS(25*B10/9-2*INT(B10)/3-INT(100*B10)/90)</f>
        <v>0.39899561071707812</v>
      </c>
      <c r="F10" s="7">
        <f t="shared" si="0"/>
        <v>1.9854420211813617</v>
      </c>
      <c r="G10" s="19">
        <f>$C$3/SQRT(1-$C$5*SIN(E10)*SIN(E10))</f>
        <v>6381361.5561730359</v>
      </c>
      <c r="H10" s="20">
        <f>(G10+D10)*COS(E10)*COS(F10)-22</f>
        <v>-2368952.7036519912</v>
      </c>
      <c r="I10" s="20">
        <f>(G10+D10)*COS(E10)*SIN(F10)+118</f>
        <v>5382024.5737891477</v>
      </c>
      <c r="J10" s="20">
        <f>(G10*(1-$C$5)+D10)*SIN(E10)+30.5</f>
        <v>2462584.2336413017</v>
      </c>
      <c r="K10" s="21">
        <f>ATAN(J10/SQRT(POWER(H10,2)+POWER(I10,2)))</f>
        <v>0.3965941198751195</v>
      </c>
      <c r="L10" s="7">
        <f>SQRT(POWER(H10,2)+POWER(I10,2)+POWER(J10,2))</f>
        <v>6375142.8637160007</v>
      </c>
      <c r="M10" s="7">
        <f>SIN(K10)</f>
        <v>0.38627906641230753</v>
      </c>
      <c r="N10" s="7">
        <f>COS(K10)</f>
        <v>0.92238196147346474</v>
      </c>
      <c r="O10" s="20">
        <f>$Y$3/L10</f>
        <v>1.0004865987085019</v>
      </c>
      <c r="P10" s="7">
        <f>O10*TAN(K10)</f>
        <v>0.41898806074847883</v>
      </c>
      <c r="Q10" s="7">
        <f>POWER(M10,2)+2*O10*N10*N10</f>
        <v>1.851616468005564</v>
      </c>
      <c r="R10" s="7">
        <f>3*POWER(M10,4)+16*O10*M10*M10*N10*N10+4*O10*O10*N10*N10*(2-5*M10*M10)</f>
        <v>6.3704526847651817</v>
      </c>
      <c r="S10" s="7">
        <f>5*M10+48*O10*POWER(M10,4)*N10*N10+20*O10*O10*M10*M10*N10*N10*(4-7*M10*M10)+16*POWER(O10,3)*N10*N10*(1-7*M10*M10+8*POWER(M10,4))</f>
        <v>12.174009462557425</v>
      </c>
      <c r="T10" s="7">
        <f>SQRT(1-$Y$5*SIN(V10)*SIN(V10))</f>
        <v>0.99949477113236351</v>
      </c>
      <c r="U10" s="7">
        <f>TAN(K10)+P10*$Y$5*(1+$Y$5/2*(Q10+$Y$5/4*(R10+$Y$5/2*S10)))</f>
        <v>0.42160622406654807</v>
      </c>
      <c r="V10" s="19">
        <f>ATAN(U10)</f>
        <v>0.39899258052125597</v>
      </c>
      <c r="W10" s="7">
        <f>ATAN(I10/H10)+PI()</f>
        <v>1.9854373611519709</v>
      </c>
      <c r="X10" s="17">
        <f>9*V10*180/PI()/25+2*INT(V10*180/PI())/5+INT(60*V10*180/PI())/250</f>
        <v>22.513812731524588</v>
      </c>
      <c r="Y10" s="17">
        <f t="shared" ref="X10:Y13" si="1">9*W10*180/PI()/25+2*INT(W10*180/PI())/5+INT(60*W10*180/PI())/250</f>
        <v>113.45258526137576</v>
      </c>
      <c r="Z10" s="29">
        <f>L10*N10/COS(V10)-$Y$3/T10</f>
        <v>102.00057958252728</v>
      </c>
      <c r="AA10" s="22">
        <v>114</v>
      </c>
      <c r="AB10" s="16">
        <f>W10-RADIANS(25*AA10/9-2*INT(AA10)/3-INT(100*AA10)/90)</f>
        <v>-4.2379861215651182E-3</v>
      </c>
      <c r="AC10" s="2">
        <f>COS(V10)*AB10</f>
        <v>-3.9051043228907753E-3</v>
      </c>
      <c r="AD10" s="2">
        <f>111134.8611*V10*180/PI()-(32005.7799*SIN(V10)+133.9238*POWER(SIN(V10),3)+0.6976*POWER(SIN(V10),5)+0.0039*POWER(SIN(V10),7))*COS(V10)</f>
        <v>2529144.072214873</v>
      </c>
      <c r="AE10" s="2">
        <f>TAN(V10)</f>
        <v>0.42160622406654802</v>
      </c>
      <c r="AF10" s="2">
        <f>0.0067385254147*COS(V10)*COS(V10)</f>
        <v>5.7215156605540853E-3</v>
      </c>
      <c r="AG10" s="2">
        <f>6399698.90178271/POWER(AF10+1,0.5)</f>
        <v>6381469.1024084212</v>
      </c>
      <c r="AH10" s="27">
        <f>AD10+AG10*AE10*(AC10*AC10/2+(5-AE10*AE10+9*AF10+4*AF10*AF10)*POWER(AC10,4)/24+(61-58*AE10*AE10+POWER(AE10,4))*POWER(AC10,6)/720)</f>
        <v>2529164.5869379728</v>
      </c>
      <c r="AI10" s="27">
        <f>AG10*(AC10+(1-AE10*AE10+AF10)*POWER(AC10,3)/6+(5-18*AE10*AE10+AE10*AE10*AE10*AE10+14*AF10-58*AF10*AE10*AE10)*POWER(AC10,5)/120)+500000</f>
        <v>475079.64497939439</v>
      </c>
      <c r="AJ10" s="27">
        <f>-2465704.04001862+0.999863076581514*AH10-(0.0170797583917754)*AI10</f>
        <v>54999.999505097177</v>
      </c>
      <c r="AK10" s="27">
        <f>-433212.115311391+(0.0170797583917754)*AH10+0.999863076581514*AI10</f>
        <v>85000.000216894667</v>
      </c>
      <c r="AL10" s="27">
        <f>AJ10-($AJ$10-$AM$3)</f>
        <v>55000</v>
      </c>
      <c r="AM10" s="27">
        <f>AK10-($AK$10-$AM$4)</f>
        <v>85000</v>
      </c>
      <c r="AN10" s="36">
        <f>Z10-($Z$10-$AM$5)</f>
        <v>50</v>
      </c>
    </row>
    <row r="11" spans="1:40" ht="24.95" customHeight="1" x14ac:dyDescent="0.15">
      <c r="A11" s="33">
        <v>2</v>
      </c>
      <c r="B11" s="43">
        <v>22.522483433600001</v>
      </c>
      <c r="C11" s="44">
        <v>114.38035618365691</v>
      </c>
      <c r="D11" s="43">
        <v>101.277</v>
      </c>
      <c r="E11" s="7">
        <f t="shared" si="0"/>
        <v>0.39921902254791081</v>
      </c>
      <c r="F11" s="7">
        <f t="shared" si="0"/>
        <v>2.0007463674738193</v>
      </c>
      <c r="G11" s="19">
        <f>$C$3/SQRT(1-$C$5*SIN(E11)*SIN(E11))</f>
        <v>6381364.9769096328</v>
      </c>
      <c r="H11" s="20">
        <f>(G11+D11)*COS(E11)*COS(F11)-22</f>
        <v>-2450813.0067677833</v>
      </c>
      <c r="I11" s="20">
        <f>(G11+D11)*COS(E11)*SIN(F11)+118</f>
        <v>5344648.7647682708</v>
      </c>
      <c r="J11" s="20">
        <f>(G11*(1-$C$5)+D11)*SIN(E11)+30.5</f>
        <v>2463894.4484493285</v>
      </c>
      <c r="K11" s="21">
        <f>ATAN(J11/SQRT(POWER(H11,2)+POWER(I11,2)))</f>
        <v>0.39681651018788799</v>
      </c>
      <c r="L11" s="7">
        <f>SQRT(POWER(H11,2)+POWER(I11,2)+POWER(J11,2))</f>
        <v>6375149.4622464003</v>
      </c>
      <c r="M11" s="7">
        <f>SIN(K11)</f>
        <v>0.38648418567133175</v>
      </c>
      <c r="N11" s="7">
        <f>COS(K11)</f>
        <v>0.92229603394244708</v>
      </c>
      <c r="O11" s="20">
        <f>$Y$3/L11</f>
        <v>1.0004855631655276</v>
      </c>
      <c r="P11" s="7">
        <f>O11*TAN(K11)</f>
        <v>0.41924917155187691</v>
      </c>
      <c r="Q11" s="7">
        <f>POWER(M11,2)+2*O11*N11*N11</f>
        <v>1.8514560433919232</v>
      </c>
      <c r="R11" s="7">
        <f>3*POWER(M11,4)+16*O11*M11*M11*N11*N11+4*O11*O11*N11*N11*(2-5*M11*M11)</f>
        <v>6.3688684018648622</v>
      </c>
      <c r="S11" s="7">
        <f>5*M11+48*O11*POWER(M11,4)*N11*N11+20*O11*O11*M11*M11*N11*N11*(4-7*M11*M11)+16*POWER(O11,3)*N11*N11*(1-7*M11*M11+8*POWER(M11,4))</f>
        <v>12.170230751199476</v>
      </c>
      <c r="T11" s="7">
        <f>SQRT(1-$Y$5*SIN(V11)*SIN(V11))</f>
        <v>0.99949423537898785</v>
      </c>
      <c r="U11" s="7">
        <f>TAN(K11)+P11*$Y$5*(1+$Y$5/2*(Q11+$Y$5/4*(R11+$Y$5/2*S11)))</f>
        <v>0.42186939869039397</v>
      </c>
      <c r="V11" s="19">
        <f>ATAN(U11)</f>
        <v>0.39921601454723799</v>
      </c>
      <c r="W11" s="7">
        <f>ATAN(I11/H11)+PI()</f>
        <v>2.00074140339082</v>
      </c>
      <c r="X11" s="17">
        <f t="shared" si="1"/>
        <v>22.522421389132404</v>
      </c>
      <c r="Y11" s="17">
        <f t="shared" si="1"/>
        <v>114.38025379209512</v>
      </c>
      <c r="Z11" s="29">
        <f>L11*N11/COS(V11)-$Y$3/T11</f>
        <v>112.00029524695128</v>
      </c>
      <c r="AA11" s="22">
        <v>114</v>
      </c>
      <c r="AB11" s="16">
        <f>W11-RADIANS(25*AA11/9-2*INT(AA11)/3-INT(100*AA11)/90)</f>
        <v>1.1066056117283951E-2</v>
      </c>
      <c r="AC11" s="2">
        <f>COS(V11)*AB11</f>
        <v>1.0195887962693882E-2</v>
      </c>
      <c r="AD11" s="2">
        <f>111134.8611*V11*180/PI()-(32005.7799*SIN(V11)+133.9238*POWER(SIN(V11),3)+0.6976*POWER(SIN(V11),5)+0.0039*POWER(SIN(V11),7))*COS(V11)</f>
        <v>2530561.7991477954</v>
      </c>
      <c r="AE11" s="2">
        <f>TAN(V11)</f>
        <v>0.42186939869039397</v>
      </c>
      <c r="AF11" s="2">
        <f>0.0067385254147*COS(V11)*COS(V11)</f>
        <v>5.7204374787203204E-3</v>
      </c>
      <c r="AG11" s="2">
        <f>6399698.90178271/POWER(AF11+1,0.5)</f>
        <v>6381472.5230320664</v>
      </c>
      <c r="AH11" s="27">
        <f>AD11+AG11*AE11*(AC11*AC11/2+(5-AE11*AE11+9*AF11+4*AF11*AF11)*POWER(AC11,4)/24+(61-58*AE11*AE11+POWER(AE11,4))*POWER(AC11,6)/720)</f>
        <v>2530701.7377003245</v>
      </c>
      <c r="AI11" s="27">
        <f>AG11*(AC11+(1-AE11*AE11+AF11)*POWER(AC11,3)/6+(5-18*AE11*AE11+AE11*AE11*AE11*AE11+14*AF11-58*AF11*AE11*AE11)*POWER(AC11,5)/120)+500000</f>
        <v>565065.7120228851</v>
      </c>
      <c r="AJ11" s="27">
        <f>-2465704.04001862+0.999863076581514*AH11-(0.0170797583917754)*AI11</f>
        <v>54999.999511782516</v>
      </c>
      <c r="AK11" s="27">
        <f>-433212.115311391+(0.0170797583917754)*AH11+0.999863076581514*AI11</f>
        <v>175000.00022410235</v>
      </c>
      <c r="AL11" s="27">
        <f>AJ11-($AJ$10-$AM$3)</f>
        <v>55000.000006685339</v>
      </c>
      <c r="AM11" s="27">
        <f>AK11-($AK$10-$AM$4)</f>
        <v>175000.00000720768</v>
      </c>
      <c r="AN11" s="36">
        <f>Z11-($Z$10-$AM$5)</f>
        <v>59.999715664424002</v>
      </c>
    </row>
    <row r="12" spans="1:40" ht="24.95" customHeight="1" x14ac:dyDescent="0.15">
      <c r="A12" s="33">
        <v>3</v>
      </c>
      <c r="B12" s="43">
        <v>22.2802148478</v>
      </c>
      <c r="C12" s="44">
        <v>114.38237284835819</v>
      </c>
      <c r="D12" s="43">
        <v>111.148</v>
      </c>
      <c r="E12" s="7">
        <f t="shared" si="0"/>
        <v>0.39212772139667229</v>
      </c>
      <c r="F12" s="7">
        <f t="shared" si="0"/>
        <v>2.0008441381375586</v>
      </c>
      <c r="G12" s="19">
        <f>$C$3/SQRT(1-$C$5*SIN(E12)*SIN(E12))</f>
        <v>6381257.132449246</v>
      </c>
      <c r="H12" s="20">
        <f>(G12+D12)*COS(E12)*COS(F12)-22</f>
        <v>-2458569.5103148306</v>
      </c>
      <c r="I12" s="20">
        <f>(G12+D12)*COS(E12)*SIN(F12)+118</f>
        <v>5360180.4554287214</v>
      </c>
      <c r="J12" s="20">
        <f>(G12*(1-$C$5)+D12)*SIN(E12)+30.5</f>
        <v>2422380.3648902802</v>
      </c>
      <c r="K12" s="21">
        <f>ATAN(J12/SQRT(POWER(H12,2)+POWER(I12,2)))</f>
        <v>0.3897588250860779</v>
      </c>
      <c r="L12" s="7">
        <f>SQRT(POWER(H12,2)+POWER(I12,2)+POWER(J12,2))</f>
        <v>6375266.67552156</v>
      </c>
      <c r="M12" s="7">
        <f>SIN(K12)</f>
        <v>0.37996533920553299</v>
      </c>
      <c r="N12" s="7">
        <f>COS(K12)</f>
        <v>0.92500072486589124</v>
      </c>
      <c r="O12" s="20">
        <f>$Y$3/L12</f>
        <v>1.0004671686111384</v>
      </c>
      <c r="P12" s="7">
        <f>O12*TAN(K12)</f>
        <v>0.41096491804419327</v>
      </c>
      <c r="Q12" s="7">
        <f>POWER(M12,2)+2*O12*N12*N12</f>
        <v>1.8564257845411831</v>
      </c>
      <c r="R12" s="7">
        <f>3*POWER(M12,4)+16*O12*M12*M12*N12*N12+4*O12*O12*N12*N12*(2-5*M12*M12)</f>
        <v>6.4184338458596626</v>
      </c>
      <c r="S12" s="7">
        <f>5*M12+48*O12*POWER(M12,4)*N12*N12+20*O12*O12*M12*M12*N12*N12*(4-7*M12*M12)+16*POWER(O12,3)*N12*N12*(1-7*M12*M12+8*POWER(M12,4))</f>
        <v>12.289231133479435</v>
      </c>
      <c r="T12" s="7">
        <f>SQRT(1-$Y$5*SIN(V12)*SIN(V12))</f>
        <v>0.99951112417543442</v>
      </c>
      <c r="U12" s="7">
        <f>TAN(K12)+P12*$Y$5*(1+$Y$5/2*(Q12+$Y$5/4*(R12+$Y$5/2*S12)))</f>
        <v>0.41354096902332421</v>
      </c>
      <c r="V12" s="19">
        <f>ATAN(U12)</f>
        <v>0.39212485087689225</v>
      </c>
      <c r="W12" s="7">
        <f>ATAN(I12/H12)+PI()</f>
        <v>2.0008391867301567</v>
      </c>
      <c r="X12" s="17">
        <f t="shared" si="1"/>
        <v>22.280155639079375</v>
      </c>
      <c r="Y12" s="17">
        <f t="shared" si="1"/>
        <v>114.38227071824937</v>
      </c>
      <c r="Z12" s="29">
        <f>L12*N12/COS(V12)-$Y$3/T12</f>
        <v>122.00090483482927</v>
      </c>
      <c r="AA12" s="22">
        <v>114</v>
      </c>
      <c r="AB12" s="16">
        <f>W12-RADIANS(25*AA12/9-2*INT(AA12)/3-INT(100*AA12)/90)</f>
        <v>1.1163839456620694E-2</v>
      </c>
      <c r="AC12" s="2">
        <f>COS(V12)*AB12</f>
        <v>1.0316494315932784E-2</v>
      </c>
      <c r="AD12" s="2">
        <f>111134.8611*V12*180/PI()-(32005.7799*SIN(V12)+133.9238*POWER(SIN(V12),3)+0.6976*POWER(SIN(V12),5)+0.0039*POWER(SIN(V12),7))*COS(V12)</f>
        <v>2485568.2653358402</v>
      </c>
      <c r="AE12" s="2">
        <f>TAN(V12)</f>
        <v>0.41354096902332421</v>
      </c>
      <c r="AF12" s="2">
        <f>0.0067385254147*COS(V12)*COS(V12)</f>
        <v>5.7544257713061063E-3</v>
      </c>
      <c r="AG12" s="2">
        <f>6399698.90178271/POWER(AF12+1,0.5)</f>
        <v>6381364.6949270396</v>
      </c>
      <c r="AH12" s="27">
        <f>AD12+AG12*AE12*(AC12*AC12/2+(5-AE12*AE12+9*AF12+4*AF12*AF12)*POWER(AC12,4)/24+(61-58*AE12*AE12+POWER(AE12,4))*POWER(AC12,6)/720)</f>
        <v>2485708.7035175315</v>
      </c>
      <c r="AI12" s="27">
        <f>AG12*(AC12+(1-AE12*AE12+AF12)*POWER(AC12,3)/6+(5-18*AE12*AE12+AE12*AE12*AE12*AE12+14*AF12-58*AF12*AE12*AE12)*POWER(AC12,5)/120)+500000</f>
        <v>565834.28740092565</v>
      </c>
      <c r="AJ12" s="27">
        <f>-2465704.04001862+0.999863076581514*AH12-(0.0170797583917754)*AI12</f>
        <v>9999.9988472752084</v>
      </c>
      <c r="AK12" s="27">
        <f>-433212.115311391+(0.0170797583917754)*AH12+0.999863076581514*AI12</f>
        <v>175000.00021301978</v>
      </c>
      <c r="AL12" s="27">
        <f>AJ12-($AJ$10-$AM$3)</f>
        <v>9999.9993421780309</v>
      </c>
      <c r="AM12" s="27">
        <f>AK12-($AK$10-$AM$4)</f>
        <v>174999.99999612512</v>
      </c>
      <c r="AN12" s="36">
        <f>Z12-($Z$10-$AM$5)</f>
        <v>70.000325252301991</v>
      </c>
    </row>
    <row r="13" spans="1:40" ht="24.95" customHeight="1" x14ac:dyDescent="0.15">
      <c r="A13" s="33">
        <v>4</v>
      </c>
      <c r="B13" s="43">
        <v>22.271613314300001</v>
      </c>
      <c r="C13" s="44">
        <v>113.45562609840844</v>
      </c>
      <c r="D13" s="43">
        <v>120.744</v>
      </c>
      <c r="E13" s="7">
        <f t="shared" si="0"/>
        <v>0.39190463275718412</v>
      </c>
      <c r="F13" s="7">
        <f t="shared" si="0"/>
        <v>1.9855847850915189</v>
      </c>
      <c r="G13" s="19">
        <f>$C$3/SQRT(1-$C$5*SIN(E13)*SIN(E13))</f>
        <v>6381253.7643913543</v>
      </c>
      <c r="H13" s="20">
        <f>(G13+D13)*COS(E13)*COS(F13)-22</f>
        <v>-2376716.877679816</v>
      </c>
      <c r="I13" s="20">
        <f>(G13+D13)*COS(E13)*SIN(F13)+118</f>
        <v>5397573.8568372214</v>
      </c>
      <c r="J13" s="20">
        <f>(G13*(1-$C$5)+D13)*SIN(E13)+30.5</f>
        <v>2421075.9427620955</v>
      </c>
      <c r="K13" s="21">
        <f>ATAN(J13/SQRT(POWER(H13,2)+POWER(I13,2)))</f>
        <v>0.38953677940462611</v>
      </c>
      <c r="L13" s="7">
        <f>SQRT(POWER(H13,2)+POWER(I13,2)+POWER(J13,2))</f>
        <v>6375280.0234407037</v>
      </c>
      <c r="M13" s="7">
        <f>SIN(K13)</f>
        <v>0.37975993742396497</v>
      </c>
      <c r="N13" s="7">
        <f>COS(K13)</f>
        <v>0.92508507172462051</v>
      </c>
      <c r="O13" s="20">
        <f>$Y$3/L13</f>
        <v>1.0004650739337557</v>
      </c>
      <c r="P13" s="7">
        <f>O13*TAN(K13)</f>
        <v>0.41070444814727824</v>
      </c>
      <c r="Q13" s="7">
        <f>POWER(M13,2)+2*O13*N13*N13</f>
        <v>1.8565783940927916</v>
      </c>
      <c r="R13" s="7">
        <f>3*POWER(M13,4)+16*O13*M13*M13*N13*N13+4*O13*O13*N13*N13*(2-5*M13*M13)</f>
        <v>6.4199711189269237</v>
      </c>
      <c r="S13" s="7">
        <f>5*M13+48*O13*POWER(M13,4)*N13*N13+20*O13*O13*M13*M13*N13*N13*(4-7*M13*M13)+16*POWER(O13,3)*N13*N13*(1-7*M13*M13+8*POWER(M13,4))</f>
        <v>12.292946931809611</v>
      </c>
      <c r="T13" s="7">
        <f>SQRT(1-$Y$5*SIN(V13)*SIN(V13))</f>
        <v>0.9995116516950413</v>
      </c>
      <c r="U13" s="7">
        <f>TAN(K13)+P13*$Y$5*(1+$Y$5/2*(Q13+$Y$5/4*(R13+$Y$5/2*S13)))</f>
        <v>0.41327972734298685</v>
      </c>
      <c r="V13" s="19">
        <f>ATAN(U13)</f>
        <v>0.39190174056085386</v>
      </c>
      <c r="W13" s="7">
        <f>ATAN(I13/H13)+PI()</f>
        <v>1.9855801359499092</v>
      </c>
      <c r="X13" s="17">
        <f t="shared" si="1"/>
        <v>22.271553658468434</v>
      </c>
      <c r="Y13" s="17">
        <f t="shared" si="1"/>
        <v>113.45553020297913</v>
      </c>
      <c r="Z13" s="29">
        <f>L13*N13/COS(V13)-$Y$3/T13</f>
        <v>132.00019237957895</v>
      </c>
      <c r="AA13" s="22">
        <v>114</v>
      </c>
      <c r="AB13" s="16">
        <f>W13-RADIANS(25*AA13/9-2*INT(AA13)/3-INT(100*AA13)/90)</f>
        <v>-4.0952113236267795E-3</v>
      </c>
      <c r="AC13" s="2">
        <f>COS(V13)*AB13</f>
        <v>-3.7847302891278801E-3</v>
      </c>
      <c r="AD13" s="2">
        <f>111134.8611*V13*180/PI()-(32005.7799*SIN(V13)+133.9238*POWER(SIN(V13),3)+0.6976*POWER(SIN(V13),5)+0.0039*POWER(SIN(V13),7))*COS(V13)</f>
        <v>2484152.6641410151</v>
      </c>
      <c r="AE13" s="2">
        <f>TAN(V13)</f>
        <v>0.41327972734298685</v>
      </c>
      <c r="AF13" s="2">
        <f>0.0067385254147*COS(V13)*COS(V13)</f>
        <v>5.7554874009497839E-3</v>
      </c>
      <c r="AG13" s="2">
        <f>6399698.90178271/POWER(AF13+1,0.5)</f>
        <v>6381361.3269873168</v>
      </c>
      <c r="AH13" s="27">
        <f>AD13+AG13*AE13*(AC13*AC13/2+(5-AE13*AE13+9*AF13+4*AF13*AF13)*POWER(AC13,4)/24+(61-58*AE13*AE13+POWER(AE13,4))*POWER(AC13,6)/720)</f>
        <v>2484171.552744281</v>
      </c>
      <c r="AI13" s="27">
        <f>AG13*(AC13+(1-AE13*AE13+AF13)*POWER(AC13,3)/6+(5-18*AE13*AE13+AE13*AE13*AE13*AE13+14*AF13-58*AF13*AE13*AE13)*POWER(AC13,5)/120)+500000</f>
        <v>475848.22035713296</v>
      </c>
      <c r="AJ13" s="27">
        <f>-2465704.04001862+0.999863076581514*AH13-(0.0170797583917754)*AI13</f>
        <v>9999.9988296976226</v>
      </c>
      <c r="AK13" s="27">
        <f>-433212.115311391+(0.0170797583917754)*AH13+0.999863076581514*AI13</f>
        <v>85000.000205324031</v>
      </c>
      <c r="AL13" s="27">
        <f>AJ13-($AJ$10-$AM$3)</f>
        <v>9999.9993246004451</v>
      </c>
      <c r="AM13" s="27">
        <f>AK13-($AK$10-$AM$4)</f>
        <v>84999.999988429365</v>
      </c>
      <c r="AN13" s="36">
        <f>Z13-($Z$10-$AM$5)</f>
        <v>79.999612797051668</v>
      </c>
    </row>
    <row r="14" spans="1:40" x14ac:dyDescent="0.15">
      <c r="AA14" s="45" t="s">
        <v>93</v>
      </c>
      <c r="AB14" s="49">
        <f>RADIANS(25*AA10/9-2*INT(AA10)/3-INT(100*AA10)/90)</f>
        <v>1.989675347273536</v>
      </c>
    </row>
    <row r="15" spans="1:40" x14ac:dyDescent="0.15">
      <c r="AB15">
        <v>1.989675347273536</v>
      </c>
      <c r="AK15" s="56" t="s">
        <v>98</v>
      </c>
      <c r="AL15">
        <v>-40</v>
      </c>
      <c r="AM15">
        <v>34</v>
      </c>
    </row>
    <row r="16" spans="1:40" x14ac:dyDescent="0.15">
      <c r="B16" s="55">
        <v>22.7871761275</v>
      </c>
      <c r="C16" s="55">
        <v>113.81397079361101</v>
      </c>
      <c r="H16" s="45"/>
      <c r="I16" s="45"/>
      <c r="K16" s="45"/>
      <c r="L16" s="45"/>
    </row>
    <row r="18" spans="2:40" x14ac:dyDescent="0.15">
      <c r="H18" s="45"/>
      <c r="I18" s="45"/>
      <c r="V18" s="45" t="s">
        <v>21</v>
      </c>
      <c r="W18" s="45" t="s">
        <v>79</v>
      </c>
      <c r="X18" s="45" t="s">
        <v>78</v>
      </c>
      <c r="AI18" s="52" t="s">
        <v>85</v>
      </c>
      <c r="AJ18" s="53">
        <v>-2465704.04001862</v>
      </c>
      <c r="AK18" s="52" t="s">
        <v>86</v>
      </c>
      <c r="AL18" s="53">
        <v>-433212.11531139101</v>
      </c>
      <c r="AM18" s="45" t="s">
        <v>91</v>
      </c>
      <c r="AN18" s="51" t="s">
        <v>92</v>
      </c>
    </row>
    <row r="19" spans="2:40" x14ac:dyDescent="0.15">
      <c r="U19" s="45" t="s">
        <v>95</v>
      </c>
      <c r="V19">
        <v>0.39899258052125602</v>
      </c>
      <c r="W19">
        <v>1.98543736115197</v>
      </c>
      <c r="X19">
        <v>102.00057958252728</v>
      </c>
      <c r="AH19" s="45"/>
      <c r="AI19" s="45" t="s">
        <v>87</v>
      </c>
      <c r="AJ19" s="50">
        <v>0.99986307658151397</v>
      </c>
      <c r="AK19" s="52" t="s">
        <v>90</v>
      </c>
      <c r="AL19" s="52">
        <v>8.9449888800000002E-6</v>
      </c>
      <c r="AM19">
        <f>(AL19+1)*COS(AL20)</f>
        <v>0.99986307658151452</v>
      </c>
      <c r="AN19">
        <v>0.99986307658151452</v>
      </c>
    </row>
    <row r="20" spans="2:40" x14ac:dyDescent="0.15">
      <c r="U20" s="45" t="s">
        <v>76</v>
      </c>
      <c r="V20">
        <v>0.39899251531593199</v>
      </c>
      <c r="W20">
        <v>1.9854373780782499</v>
      </c>
      <c r="X20">
        <v>102.379052966833</v>
      </c>
      <c r="AH20" s="45"/>
      <c r="AI20" s="45" t="s">
        <v>88</v>
      </c>
      <c r="AJ20">
        <v>1.7079758391775401E-2</v>
      </c>
      <c r="AK20" s="52" t="s">
        <v>89</v>
      </c>
      <c r="AL20" s="52">
        <v>1.7080436114211801E-2</v>
      </c>
      <c r="AM20">
        <f>(AL19+1)*SIN(AL20)</f>
        <v>1.7079758391775435E-2</v>
      </c>
      <c r="AN20">
        <v>1.7079758391775435E-2</v>
      </c>
    </row>
    <row r="21" spans="2:40" x14ac:dyDescent="0.15">
      <c r="U21" s="45" t="s">
        <v>77</v>
      </c>
      <c r="V21">
        <v>0.39899251531289798</v>
      </c>
      <c r="W21">
        <v>1.9854373780782499</v>
      </c>
      <c r="X21">
        <v>102.379048909061</v>
      </c>
    </row>
    <row r="22" spans="2:40" s="47" customFormat="1" ht="34.5" customHeight="1" x14ac:dyDescent="0.15">
      <c r="D22" s="46" t="s">
        <v>71</v>
      </c>
      <c r="E22" s="87" t="s">
        <v>69</v>
      </c>
      <c r="F22" s="87"/>
      <c r="H22" s="46" t="s">
        <v>70</v>
      </c>
      <c r="I22" s="46" t="s">
        <v>72</v>
      </c>
      <c r="J22" s="54" t="s">
        <v>73</v>
      </c>
      <c r="K22" s="87" t="s">
        <v>75</v>
      </c>
      <c r="L22" s="88"/>
      <c r="M22" s="88"/>
      <c r="N22" s="88"/>
      <c r="O22" s="88"/>
      <c r="P22" s="88"/>
      <c r="Q22" s="88"/>
      <c r="R22" s="88"/>
      <c r="S22" s="88"/>
      <c r="T22" s="88"/>
      <c r="U22" s="88"/>
      <c r="AA22" s="87" t="s">
        <v>80</v>
      </c>
      <c r="AB22" s="88"/>
      <c r="AC22" s="88"/>
      <c r="AD22" s="88"/>
      <c r="AE22" s="88"/>
      <c r="AF22" s="88"/>
      <c r="AG22" s="88"/>
      <c r="AH22" s="88"/>
      <c r="AI22" s="88"/>
    </row>
    <row r="23" spans="2:40" ht="42.75" x14ac:dyDescent="0.15">
      <c r="H23" s="46" t="s">
        <v>74</v>
      </c>
    </row>
    <row r="24" spans="2:40" x14ac:dyDescent="0.15">
      <c r="B24" s="45"/>
    </row>
  </sheetData>
  <mergeCells count="25">
    <mergeCell ref="A7:A9"/>
    <mergeCell ref="E22:F22"/>
    <mergeCell ref="K22:U22"/>
    <mergeCell ref="AA22:AI22"/>
    <mergeCell ref="H8:J8"/>
    <mergeCell ref="B7:D7"/>
    <mergeCell ref="AL7:AM7"/>
    <mergeCell ref="AL2:AN2"/>
    <mergeCell ref="AM3:AN3"/>
    <mergeCell ref="AM4:AN4"/>
    <mergeCell ref="AM5:AN5"/>
    <mergeCell ref="AJ7:AK7"/>
    <mergeCell ref="P3:R3"/>
    <mergeCell ref="P4:R4"/>
    <mergeCell ref="O5:R5"/>
    <mergeCell ref="B2:D2"/>
    <mergeCell ref="C4:D4"/>
    <mergeCell ref="X2:Z2"/>
    <mergeCell ref="S3:W3"/>
    <mergeCell ref="S4:W4"/>
    <mergeCell ref="C5:D5"/>
    <mergeCell ref="S5:W5"/>
    <mergeCell ref="X7:Z7"/>
    <mergeCell ref="Y5:Z5"/>
    <mergeCell ref="AA7:AI7"/>
  </mergeCells>
  <phoneticPr fontId="2" type="noConversion"/>
  <pageMargins left="0.74803149606299213" right="0.35433070866141736" top="0.98425196850393704" bottom="0.98425196850393704" header="0.51181102362204722" footer="0.51181102362204722"/>
  <pageSetup paperSize="9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 sizeWithCells="1">
              <from>
                <xdr:col>0</xdr:col>
                <xdr:colOff>381000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4097" r:id="rId4"/>
      </mc:Fallback>
    </mc:AlternateContent>
    <mc:AlternateContent xmlns:mc="http://schemas.openxmlformats.org/markup-compatibility/2006">
      <mc:Choice Requires="x14">
        <oleObject progId="Equation.3" shapeId="4098" r:id="rId6">
          <objectPr defaultSize="0" autoPict="0" r:id="rId7">
            <anchor moveWithCells="1" sizeWithCells="1">
              <from>
                <xdr:col>0</xdr:col>
                <xdr:colOff>333375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4098" r:id="rId6"/>
      </mc:Fallback>
    </mc:AlternateContent>
    <mc:AlternateContent xmlns:mc="http://schemas.openxmlformats.org/markup-compatibility/2006">
      <mc:Choice Requires="x14">
        <oleObject progId="Equation.3" shapeId="4099" r:id="rId8">
          <objectPr defaultSize="0" autoPict="0" r:id="rId9">
            <anchor moveWithCells="1" sizeWithCells="1">
              <from>
                <xdr:col>0</xdr:col>
                <xdr:colOff>304800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4099" r:id="rId8"/>
      </mc:Fallback>
    </mc:AlternateContent>
    <mc:AlternateContent xmlns:mc="http://schemas.openxmlformats.org/markup-compatibility/2006">
      <mc:Choice Requires="x14">
        <oleObject progId="Equation.3" shapeId="4100" r:id="rId10">
          <objectPr defaultSize="0" autoPict="0" r:id="rId11">
            <anchor moveWithCells="1" sizeWithCells="1">
              <from>
                <xdr:col>0</xdr:col>
                <xdr:colOff>314325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4100" r:id="rId10"/>
      </mc:Fallback>
    </mc:AlternateContent>
    <mc:AlternateContent xmlns:mc="http://schemas.openxmlformats.org/markup-compatibility/2006">
      <mc:Choice Requires="x14">
        <oleObject progId="Equation.3" shapeId="4101" r:id="rId12">
          <objectPr defaultSize="0" autoPict="0" r:id="rId13">
            <anchor moveWithCells="1" sizeWithCells="1">
              <from>
                <xdr:col>0</xdr:col>
                <xdr:colOff>333375</xdr:colOff>
                <xdr:row>13</xdr:row>
                <xdr:rowOff>0</xdr:rowOff>
              </from>
              <to>
                <xdr:col>0</xdr:col>
                <xdr:colOff>504825</xdr:colOff>
                <xdr:row>13</xdr:row>
                <xdr:rowOff>0</xdr:rowOff>
              </to>
            </anchor>
          </objectPr>
        </oleObject>
      </mc:Choice>
      <mc:Fallback>
        <oleObject progId="Equation.3" shapeId="4101" r:id="rId12"/>
      </mc:Fallback>
    </mc:AlternateContent>
    <mc:AlternateContent xmlns:mc="http://schemas.openxmlformats.org/markup-compatibility/2006">
      <mc:Choice Requires="x14">
        <oleObject progId="Equation.3" shapeId="4102" r:id="rId14">
          <objectPr defaultSize="0" autoPict="0" r:id="rId15">
            <anchor moveWithCells="1" sizeWithCells="1">
              <from>
                <xdr:col>0</xdr:col>
                <xdr:colOff>314325</xdr:colOff>
                <xdr:row>13</xdr:row>
                <xdr:rowOff>0</xdr:rowOff>
              </from>
              <to>
                <xdr:col>3</xdr:col>
                <xdr:colOff>0</xdr:colOff>
                <xdr:row>13</xdr:row>
                <xdr:rowOff>0</xdr:rowOff>
              </to>
            </anchor>
          </objectPr>
        </oleObject>
      </mc:Choice>
      <mc:Fallback>
        <oleObject progId="Equation.3" shapeId="4102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深圳转WGS—84</vt:lpstr>
      <vt:lpstr>WGS—84转深圳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Mr_Yin</cp:lastModifiedBy>
  <cp:lastPrinted>2005-01-22T02:48:27Z</cp:lastPrinted>
  <dcterms:created xsi:type="dcterms:W3CDTF">2003-10-09T14:10:00Z</dcterms:created>
  <dcterms:modified xsi:type="dcterms:W3CDTF">2019-05-20T04:53:17Z</dcterms:modified>
</cp:coreProperties>
</file>